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0076403\Box\SHC Antimicrobial Stewardship Program\Vanco per Rx\AUC\"/>
    </mc:Choice>
  </mc:AlternateContent>
  <xr:revisionPtr revIDLastSave="0" documentId="8_{5B3A3C1B-646B-4EE4-84A1-FCC4F299A11F}" xr6:coauthVersionLast="47" xr6:coauthVersionMax="47" xr10:uidLastSave="{00000000-0000-0000-0000-000000000000}"/>
  <bookViews>
    <workbookView xWindow="1740" yWindow="1140" windowWidth="21600" windowHeight="12840" tabRatio="589" activeTab="1" xr2:uid="{00000000-000D-0000-FFFF-FFFF00000000}"/>
  </bookViews>
  <sheets>
    <sheet name="Initial Dose" sheetId="5" r:id="rId1"/>
    <sheet name="AUC calculator" sheetId="3" r:id="rId2"/>
    <sheet name="Revision hx" sheetId="6" r:id="rId3"/>
    <sheet name="Calculation_Details" sheetId="2" state="hidden" r:id="rId4"/>
  </sheets>
  <definedNames>
    <definedName name="yes">'Initial Dose'!#REF!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5" l="1"/>
  <c r="E9" i="5" s="1"/>
  <c r="E38" i="5"/>
  <c r="E39" i="5" s="1"/>
  <c r="E25" i="5"/>
  <c r="E29" i="5" s="1"/>
  <c r="E31" i="5" s="1"/>
  <c r="E33" i="3"/>
  <c r="G35" i="3" s="1"/>
  <c r="E32" i="3"/>
  <c r="E35" i="3" s="1"/>
  <c r="G38" i="5"/>
  <c r="G39" i="5"/>
  <c r="G40" i="5" s="1"/>
  <c r="G42" i="5"/>
  <c r="G43" i="5" s="1"/>
  <c r="G44" i="5" s="1"/>
  <c r="I38" i="5"/>
  <c r="I39" i="5" s="1"/>
  <c r="I40" i="5" s="1"/>
  <c r="I42" i="5"/>
  <c r="I43" i="5"/>
  <c r="I44" i="5" s="1"/>
  <c r="D3" i="2"/>
  <c r="I3" i="2"/>
  <c r="H3" i="2"/>
  <c r="E3" i="2"/>
  <c r="C3" i="2"/>
  <c r="D15" i="2"/>
  <c r="B15" i="2"/>
  <c r="A15" i="2"/>
  <c r="A12" i="2"/>
  <c r="A9" i="2"/>
  <c r="B3" i="2"/>
  <c r="A3" i="2"/>
  <c r="E30" i="5" l="1"/>
  <c r="E43" i="5"/>
  <c r="E44" i="5" s="1"/>
  <c r="E45" i="5" s="1"/>
  <c r="E46" i="5" s="1"/>
  <c r="E40" i="5"/>
  <c r="E48" i="5" s="1"/>
  <c r="E7" i="5" s="1"/>
  <c r="C15" i="2"/>
  <c r="B9" i="2"/>
  <c r="J3" i="2"/>
  <c r="F3" i="2"/>
  <c r="G3" i="2"/>
  <c r="A6" i="2" s="1"/>
  <c r="E19" i="5" l="1"/>
  <c r="B6" i="2"/>
  <c r="E8" i="3" s="1"/>
  <c r="E7" i="3"/>
  <c r="K3" i="2"/>
  <c r="E9" i="3" s="1"/>
  <c r="E49" i="5" l="1"/>
  <c r="D12" i="2"/>
  <c r="E22" i="3" s="1"/>
  <c r="L3" i="2"/>
  <c r="E9" i="2" s="1"/>
  <c r="E26" i="5" l="1"/>
  <c r="E27" i="5" s="1"/>
  <c r="E28" i="5" s="1"/>
  <c r="E8" i="5"/>
  <c r="E6" i="2"/>
  <c r="D9" i="2"/>
  <c r="G9" i="2" s="1"/>
  <c r="E10" i="3"/>
  <c r="E33" i="5" l="1"/>
  <c r="E34" i="5" s="1"/>
  <c r="E35" i="5" s="1"/>
  <c r="E20" i="5" s="1"/>
  <c r="C6" i="2"/>
  <c r="I9" i="2" s="1"/>
  <c r="E6" i="3"/>
  <c r="E12" i="3"/>
  <c r="G14" i="3" s="1"/>
  <c r="B12" i="2"/>
  <c r="C12" i="2" s="1"/>
  <c r="E21" i="3" s="1"/>
  <c r="E15" i="2"/>
  <c r="E27" i="3" s="1"/>
  <c r="D6" i="2"/>
  <c r="E14" i="3" l="1"/>
  <c r="G15" i="2"/>
  <c r="E26" i="3" s="1"/>
  <c r="K15" i="2" l="1"/>
  <c r="I15" i="2"/>
  <c r="H15" i="2" s="1"/>
  <c r="E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Meng, Lina</author>
    <author>tc={BF136587-2264-455F-AEAF-6AEC99023DAF}</author>
  </authors>
  <commentList>
    <comment ref="A7" authorId="0" shapeId="0" xr:uid="{00000000-0006-0000-0000-000001000000}">
      <text>
        <r>
          <rPr>
            <sz val="9"/>
            <color indexed="81"/>
            <rFont val="Tahoma"/>
            <family val="2"/>
          </rPr>
          <t>default = 500. goal range 400-600 except  meningitis and unstable renal function or dialysis/CRRT</t>
        </r>
      </text>
    </comment>
    <comment ref="D7" authorId="0" shapeId="0" xr:uid="{00000000-0006-0000-0000-000002000000}">
      <text>
        <r>
          <rPr>
            <sz val="9"/>
            <color indexed="81"/>
            <rFont val="Tahoma"/>
            <family val="2"/>
          </rPr>
          <t>Uses Matzke equation except Crass et al. equation in obese
(all: max CrCl 150ml/min)</t>
        </r>
      </text>
    </comment>
    <comment ref="D9" authorId="0" shapeId="0" xr:uid="{00000000-0006-0000-0000-000003000000}">
      <text>
        <r>
          <rPr>
            <sz val="9"/>
            <color indexed="81"/>
            <rFont val="Tahoma"/>
            <family val="2"/>
          </rPr>
          <t>normal: 0.7 * TBW
obese: 0.6*TBW</t>
        </r>
      </text>
    </comment>
    <comment ref="D17" authorId="1" shapeId="0" xr:uid="{BF136587-2264-455F-AEAF-6AEC99023DAF}">
      <text>
        <t>[Threaded comment]
Your version of Excel allows you to read this threaded comment; however, any edits to it will get removed if the file is opened in a newer version of Excel. Learn more: https://go.microsoft.com/fwlink/?linkid=870924
Comment:
    TDD+ AUC*CL, where CL uses Crass et al estimate if obese.
Max initial TDD= 4.5g</t>
      </text>
    </comment>
    <comment ref="D2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Meng, Lina:</t>
        </r>
        <r>
          <rPr>
            <sz val="9"/>
            <color indexed="81"/>
            <rFont val="Tahoma"/>
            <family val="2"/>
          </rPr>
          <t xml:space="preserve">
k x Vd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Meng, Lina</author>
    <author>tc={43C01FB9-C4A6-45E7-9869-1845DF0E81EA}</author>
    <author>Lina Meng</author>
  </authors>
  <commentList>
    <comment ref="A11" authorId="0" shapeId="0" xr:uid="{00000000-0006-0000-0100-000001000000}">
      <text>
        <r>
          <rPr>
            <sz val="9"/>
            <color indexed="81"/>
            <rFont val="Tahoma"/>
            <family val="2"/>
          </rPr>
          <t>MM/DD/YY HH:MM (24hr)
e.g. 6/5/18 16:30</t>
        </r>
      </text>
    </comment>
    <comment ref="A12" authorId="0" shapeId="0" xr:uid="{00000000-0006-0000-0100-000002000000}">
      <text>
        <r>
          <rPr>
            <sz val="9"/>
            <color indexed="81"/>
            <rFont val="Tahoma"/>
            <family val="2"/>
          </rPr>
          <t>ideally 1-2 hours after END of infusion</t>
        </r>
      </text>
    </comment>
    <comment ref="A14" authorId="0" shapeId="0" xr:uid="{00000000-0006-0000-0100-000003000000}">
      <text>
        <r>
          <rPr>
            <sz val="9"/>
            <color indexed="81"/>
            <rFont val="Tahoma"/>
            <family val="2"/>
          </rPr>
          <t>Ideally &gt;1 half-life after 1st level</t>
        </r>
      </text>
    </comment>
    <comment ref="D14" authorId="1" shapeId="0" xr:uid="{43C01FB9-C4A6-45E7-9869-1845DF0E81EA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true trough. only displays if AUC 400-600</t>
      </text>
    </comment>
    <comment ref="D22" authorId="0" shapeId="0" xr:uid="{44152D99-EB62-4C96-952A-D3A0FDEF89AC}">
      <text>
        <r>
          <rPr>
            <b/>
            <sz val="9"/>
            <color indexed="81"/>
            <rFont val="Tahoma"/>
            <charset val="1"/>
          </rPr>
          <t>Meng, Lina:</t>
        </r>
        <r>
          <rPr>
            <sz val="9"/>
            <color indexed="81"/>
            <rFont val="Tahoma"/>
            <charset val="1"/>
          </rPr>
          <t xml:space="preserve">
If half-life 4-5.5h, excel recs q8h; if 5.51-11h, excel recs q12h; if 11-22h excel recs q24h. Please use clinical judgement as appropriate</t>
        </r>
      </text>
    </comment>
    <comment ref="A26" authorId="2" shapeId="0" xr:uid="{00000000-0006-0000-0100-000004000000}">
      <text>
        <r>
          <rPr>
            <sz val="9"/>
            <color indexed="81"/>
            <rFont val="Tahoma"/>
            <family val="2"/>
          </rPr>
          <t>ensure this is &gt; 1 to 1.5 times the half-life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tc={47A995BD-FB48-4696-9F56-E6292F5D494F}</author>
  </authors>
  <commentList>
    <comment ref="K3" authorId="0" shapeId="0" xr:uid="{00000000-0006-0000-02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5/20/20 checked true Cmax equation</t>
      </text>
    </comment>
  </commentList>
</comments>
</file>

<file path=xl/sharedStrings.xml><?xml version="1.0" encoding="utf-8"?>
<sst xmlns="http://schemas.openxmlformats.org/spreadsheetml/2006/main" count="147" uniqueCount="133">
  <si>
    <t>Link to dosing protocol and equations</t>
  </si>
  <si>
    <t>Use this tab to estimate AUC-targeted initial maintenance dosing regimen based on patient characteristics</t>
  </si>
  <si>
    <t>Input patient parameters</t>
  </si>
  <si>
    <t>Calculated values</t>
  </si>
  <si>
    <r>
      <t>Chosen goal AUC</t>
    </r>
    <r>
      <rPr>
        <vertAlign val="subscript"/>
        <sz val="10"/>
        <color theme="1"/>
        <rFont val="Arial"/>
        <family val="2"/>
      </rPr>
      <t>24</t>
    </r>
  </si>
  <si>
    <t>ke</t>
  </si>
  <si>
    <t>CrCl (ml/min)</t>
  </si>
  <si>
    <t>half-life</t>
  </si>
  <si>
    <t>Total Body Weight (kg)</t>
  </si>
  <si>
    <t>Vd</t>
  </si>
  <si>
    <r>
      <t>Loading Dose: ~25mg/kg x1 or modified load 20-25mg/kg x1 (dialysis, obesity)</t>
    </r>
    <r>
      <rPr>
        <sz val="10"/>
        <color theme="1"/>
        <rFont val="Arial"/>
        <family val="2"/>
      </rPr>
      <t xml:space="preserve">
</t>
    </r>
    <r>
      <rPr>
        <i/>
        <sz val="8"/>
        <color theme="0" tint="-0.499984740745262"/>
        <rFont val="Arial"/>
        <family val="2"/>
      </rPr>
      <t>Preferred in critically-ill patients with suspected or documented serious MRSA infections. 
Use of and magnitude of LD should be driven by the severity of infection and the urgency to achieve a therapeutic concentration rather than body size alone</t>
    </r>
  </si>
  <si>
    <t>Obese: BMI ≥ 30? (yes/no)</t>
  </si>
  <si>
    <t xml:space="preserve">     Age</t>
  </si>
  <si>
    <t xml:space="preserve">     SCr</t>
  </si>
  <si>
    <t xml:space="preserve">     Sex (male = 1, female = 0)</t>
  </si>
  <si>
    <t>Maintenance Dose</t>
  </si>
  <si>
    <t>* Recommended dosing frequency: at least 1-1.5x the half-life</t>
  </si>
  <si>
    <t>NON-OBESE</t>
  </si>
  <si>
    <t>CL (ml/min) (max at 150)</t>
  </si>
  <si>
    <t>CL L/hr</t>
  </si>
  <si>
    <t>CL L/hr (max at 9)</t>
  </si>
  <si>
    <t>CL display (obese vs non obese)</t>
  </si>
  <si>
    <t>half life</t>
  </si>
  <si>
    <t>Calculated EDD = AUC x CL</t>
  </si>
  <si>
    <t>nonobese EDD final (w/max)</t>
  </si>
  <si>
    <t>Display</t>
  </si>
  <si>
    <t>OBESITY</t>
  </si>
  <si>
    <t>Weight-based obesity dosing</t>
  </si>
  <si>
    <t>15 mg/kg</t>
  </si>
  <si>
    <t>25 mg/kg/d</t>
  </si>
  <si>
    <t>Clvan max (cap at CrCl 150ml/min or 9L/hr)</t>
  </si>
  <si>
    <t>15 mg/kg max</t>
  </si>
  <si>
    <t>Clvan obese display (w/age validation)</t>
  </si>
  <si>
    <t>TDD using Clvan obese</t>
  </si>
  <si>
    <t>20 mg/kg</t>
  </si>
  <si>
    <t>30 mg/kg</t>
  </si>
  <si>
    <t>TDD final using Clvan obese (cap at 4500)</t>
  </si>
  <si>
    <t>max</t>
  </si>
  <si>
    <t>Age validation</t>
  </si>
  <si>
    <t>Display TDD obese</t>
  </si>
  <si>
    <t>Change summary</t>
  </si>
  <si>
    <t>10/21/19. removed CNS indication from AUC protocol</t>
  </si>
  <si>
    <t>5/29/20. changed LD from 15-25 to 20-25mg/kg, fixed broken hyperlink</t>
  </si>
  <si>
    <t>Use this section to estimate AUC based on 2 levels at steady state</t>
  </si>
  <si>
    <t>Initial dosing</t>
  </si>
  <si>
    <t>Initial dose (mg)</t>
  </si>
  <si>
    <t>Vd (L)</t>
  </si>
  <si>
    <t xml:space="preserve">Initial dosing frequency (hr) </t>
  </si>
  <si>
    <r>
      <t>ke (hours</t>
    </r>
    <r>
      <rPr>
        <b/>
        <vertAlign val="superscript"/>
        <sz val="10"/>
        <color theme="1"/>
        <rFont val="Arial"/>
        <family val="2"/>
      </rPr>
      <t>-1</t>
    </r>
    <r>
      <rPr>
        <b/>
        <sz val="10"/>
        <color theme="1"/>
        <rFont val="Arial"/>
        <family val="2"/>
      </rPr>
      <t>)</t>
    </r>
  </si>
  <si>
    <t>Infusion duration (hr)</t>
  </si>
  <si>
    <r>
      <t>t</t>
    </r>
    <r>
      <rPr>
        <b/>
        <vertAlign val="subscript"/>
        <sz val="10"/>
        <color theme="1"/>
        <rFont val="Arial"/>
        <family val="2"/>
      </rPr>
      <t>1/2</t>
    </r>
    <r>
      <rPr>
        <b/>
        <sz val="10"/>
        <color theme="1"/>
        <rFont val="Arial"/>
        <family val="2"/>
      </rPr>
      <t xml:space="preserve"> (hr)</t>
    </r>
  </si>
  <si>
    <t>true peak</t>
  </si>
  <si>
    <t>AUC assessment based on paired levels drawn after a dose</t>
  </si>
  <si>
    <t>true trough</t>
  </si>
  <si>
    <t>Date/time of dose preceeding peak/trough</t>
  </si>
  <si>
    <t>Measured Level 1 ("peak")</t>
  </si>
  <si>
    <r>
      <t>Calculated AUC</t>
    </r>
    <r>
      <rPr>
        <b/>
        <vertAlign val="subscript"/>
        <sz val="10"/>
        <color theme="1"/>
        <rFont val="Arial"/>
        <family val="2"/>
      </rPr>
      <t>24</t>
    </r>
  </si>
  <si>
    <t>Date/time of Level 1</t>
  </si>
  <si>
    <t>Measured Level 2 ("trough")</t>
  </si>
  <si>
    <t>Date/time of Level 2</t>
  </si>
  <si>
    <t>Use this section to estimate predicted AUC/peak/trough after revising a regimen based on AUC result above</t>
  </si>
  <si>
    <t>Recommended revised dose (mg)</t>
  </si>
  <si>
    <t>Recommended revised dosing interval (hr)</t>
  </si>
  <si>
    <t>Dose revision</t>
  </si>
  <si>
    <t>Chosen dose (mg)</t>
  </si>
  <si>
    <r>
      <t>Predicted AUC</t>
    </r>
    <r>
      <rPr>
        <b/>
        <vertAlign val="subscript"/>
        <sz val="10"/>
        <color theme="1"/>
        <rFont val="Arial"/>
        <family val="2"/>
      </rPr>
      <t>24</t>
    </r>
    <r>
      <rPr>
        <b/>
        <sz val="10"/>
        <color theme="1"/>
        <rFont val="Arial"/>
        <family val="2"/>
      </rPr>
      <t xml:space="preserve"> based on chosen dose</t>
    </r>
  </si>
  <si>
    <t>Chosen dosing interval (hr)</t>
  </si>
  <si>
    <t>Predicted trough based on chosen dose</t>
  </si>
  <si>
    <t>Predicted peak based on chosen dose</t>
  </si>
  <si>
    <t>Vanco Dose Revision: Paired Levels</t>
  </si>
  <si>
    <t>Infusion time</t>
  </si>
  <si>
    <t>Dosing freq</t>
  </si>
  <si>
    <t>Dose time</t>
  </si>
  <si>
    <t>Level 1</t>
  </si>
  <si>
    <t>Level 1 time</t>
  </si>
  <si>
    <t>Level 1 time post infusion</t>
  </si>
  <si>
    <t>delta t</t>
  </si>
  <si>
    <t>Level 2 time</t>
  </si>
  <si>
    <t>Level 2</t>
  </si>
  <si>
    <t>Level 2 time after dose</t>
  </si>
  <si>
    <t>C true pk</t>
  </si>
  <si>
    <t>C true trough</t>
  </si>
  <si>
    <t>k</t>
  </si>
  <si>
    <t>t1/2</t>
  </si>
  <si>
    <t>Clvanc</t>
  </si>
  <si>
    <t>Clvanc (ml/min)</t>
  </si>
  <si>
    <t>Vvanc</t>
  </si>
  <si>
    <t>Initial Dose</t>
  </si>
  <si>
    <t>Initial TDD</t>
  </si>
  <si>
    <t>AUCinf</t>
  </si>
  <si>
    <t>AUCelim</t>
  </si>
  <si>
    <t>AUC0-24</t>
  </si>
  <si>
    <t>Desired dose to achieve goal AUC</t>
  </si>
  <si>
    <t>Goal AUC</t>
  </si>
  <si>
    <t>Sugg Vanco TDD</t>
  </si>
  <si>
    <t>Sugg Vanco dose</t>
  </si>
  <si>
    <t>Suggested T</t>
  </si>
  <si>
    <t>Dose chosen</t>
  </si>
  <si>
    <t>Chosen T</t>
  </si>
  <si>
    <t>Chosen TDD</t>
  </si>
  <si>
    <t>Inf time</t>
  </si>
  <si>
    <t>Predicted peak</t>
  </si>
  <si>
    <t>Predicted trough</t>
  </si>
  <si>
    <t>Predicted AUC</t>
  </si>
  <si>
    <t>Predicted AUCinf</t>
  </si>
  <si>
    <t>Predicted AUCelim</t>
  </si>
  <si>
    <t>AUC Assessment</t>
  </si>
  <si>
    <t>Calculated Values</t>
  </si>
  <si>
    <t>Trough Lower limit</t>
  </si>
  <si>
    <t>Trough Upper limit</t>
  </si>
  <si>
    <t>Goal Trough</t>
  </si>
  <si>
    <t>-</t>
  </si>
  <si>
    <r>
      <t>Calculated AUC</t>
    </r>
    <r>
      <rPr>
        <vertAlign val="subscript"/>
        <sz val="10"/>
        <color theme="1"/>
        <rFont val="Arial"/>
        <family val="2"/>
      </rPr>
      <t>24</t>
    </r>
  </si>
  <si>
    <t>Goal Surrogate Trough Range based on AUC</t>
  </si>
  <si>
    <t>Use this section for discharge planning. Calculate AUC correlated trough, once AUC is within goal range of 400-600</t>
  </si>
  <si>
    <t>Correlated Trough</t>
  </si>
  <si>
    <t>Added surrogate goal troughs based on therapeutic AUC. Updated protocol link</t>
  </si>
  <si>
    <t>Conditional formatting applied to calculated half-life if &lt; 6, calculated peak if &gt; 40</t>
  </si>
  <si>
    <t>Added note to recommended dosing frequency: "If half-life 4-5.5h, excel rec q8h; if 5.51-11h, excel rec q12h; if 11-22h excel rec q24h. Please use clinical judgement as appropriate"</t>
  </si>
  <si>
    <t>Tab 2 AUC Calculator:</t>
  </si>
  <si>
    <t>* Tip: please review check half-life and true peak/trough in formulating dose revisions</t>
  </si>
  <si>
    <t>Clvan obese (Crass et al, 2018) L/hr</t>
  </si>
  <si>
    <t>Vd = 0.6xTBW</t>
  </si>
  <si>
    <t>Display EDD</t>
  </si>
  <si>
    <t>ke obese = CL/Vd BMI &gt;30</t>
  </si>
  <si>
    <t>half-life BMI &gt;30</t>
  </si>
  <si>
    <t>Revised Vd obese to 0.6X TBW instead of CL/ke where CL was Crass et al equation</t>
  </si>
  <si>
    <r>
      <t xml:space="preserve">AUC-based dosing </t>
    </r>
    <r>
      <rPr>
        <b/>
        <i/>
        <sz val="10"/>
        <color theme="1"/>
        <rFont val="Arial"/>
        <family val="2"/>
      </rPr>
      <t>(preferred)</t>
    </r>
    <r>
      <rPr>
        <b/>
        <sz val="10"/>
        <color rgb="FFFF0000"/>
        <rFont val="Arial"/>
        <family val="2"/>
      </rPr>
      <t>*</t>
    </r>
  </si>
  <si>
    <r>
      <t>Estimated DAILY dose</t>
    </r>
    <r>
      <rPr>
        <b/>
        <sz val="10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 (if BMI </t>
    </r>
    <r>
      <rPr>
        <b/>
        <sz val="10"/>
        <color theme="1"/>
        <rFont val="Calibri"/>
        <family val="2"/>
      </rPr>
      <t>≥</t>
    </r>
    <r>
      <rPr>
        <b/>
        <sz val="10"/>
        <color theme="1"/>
        <rFont val="Arial"/>
        <family val="2"/>
      </rPr>
      <t>30) (mg)</t>
    </r>
  </si>
  <si>
    <r>
      <t>Estimated DAILY dose</t>
    </r>
    <r>
      <rPr>
        <b/>
        <sz val="10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 (non-obese) (mg)</t>
    </r>
  </si>
  <si>
    <t>display ke</t>
  </si>
  <si>
    <t>SHC Adult Vancomycin AUC calculator v8/22/2022</t>
  </si>
  <si>
    <t>Tab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</si>
</sst>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m/d/yy\ h:mm;@"/>
    <numFmt numFmtId="167" formatCode="0.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vertAlign val="subscript"/>
      <sz val="10"/>
      <color theme="1"/>
      <name val="Arial"/>
      <family val="2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i/>
      <sz val="8"/>
      <color theme="0" tint="-0.499984740745262"/>
      <name val="Arial"/>
      <family val="2"/>
    </font>
    <font>
      <i/>
      <sz val="8"/>
      <color rgb="FFFF0000"/>
      <name val="Arial"/>
      <family val="2"/>
    </font>
    <font>
      <i/>
      <sz val="8"/>
      <color theme="0" tint="-0.34998626667073579"/>
      <name val="Arial"/>
      <family val="2"/>
    </font>
    <font>
      <b/>
      <sz val="9"/>
      <color indexed="81"/>
      <name val="Tahoma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8" fillId="2" borderId="0" xfId="1" applyFont="1" applyFill="1"/>
    <xf numFmtId="0" fontId="9" fillId="2" borderId="0" xfId="1" applyFont="1" applyFill="1"/>
    <xf numFmtId="0" fontId="9" fillId="0" borderId="0" xfId="1" applyFont="1"/>
    <xf numFmtId="0" fontId="10" fillId="0" borderId="0" xfId="1" applyFont="1"/>
    <xf numFmtId="1" fontId="9" fillId="0" borderId="0" xfId="1" applyNumberFormat="1" applyFont="1"/>
    <xf numFmtId="2" fontId="9" fillId="0" borderId="0" xfId="1" applyNumberFormat="1" applyFont="1"/>
    <xf numFmtId="0" fontId="10" fillId="0" borderId="0" xfId="1" applyFont="1" applyFill="1"/>
    <xf numFmtId="0" fontId="9" fillId="0" borderId="0" xfId="1" applyFont="1" applyFill="1"/>
    <xf numFmtId="164" fontId="9" fillId="0" borderId="0" xfId="1" applyNumberFormat="1" applyFont="1"/>
    <xf numFmtId="165" fontId="9" fillId="0" borderId="0" xfId="1" applyNumberFormat="1" applyFont="1"/>
    <xf numFmtId="0" fontId="11" fillId="0" borderId="0" xfId="0" applyFont="1"/>
    <xf numFmtId="164" fontId="12" fillId="0" borderId="0" xfId="0" applyNumberFormat="1" applyFont="1"/>
    <xf numFmtId="1" fontId="12" fillId="0" borderId="0" xfId="0" applyNumberFormat="1" applyFont="1"/>
    <xf numFmtId="164" fontId="9" fillId="0" borderId="0" xfId="1" applyNumberFormat="1" applyFont="1" applyFill="1" applyAlignment="1">
      <alignment horizontal="left" indent="1"/>
    </xf>
    <xf numFmtId="164" fontId="9" fillId="0" borderId="0" xfId="1" applyNumberFormat="1" applyFont="1" applyFill="1"/>
    <xf numFmtId="0" fontId="5" fillId="0" borderId="0" xfId="0" applyFont="1" applyProtection="1"/>
    <xf numFmtId="2" fontId="5" fillId="0" borderId="0" xfId="0" applyNumberFormat="1" applyFont="1" applyAlignment="1">
      <alignment horizontal="center"/>
    </xf>
    <xf numFmtId="0" fontId="3" fillId="0" borderId="0" xfId="2"/>
    <xf numFmtId="0" fontId="4" fillId="0" borderId="3" xfId="0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0" fontId="4" fillId="0" borderId="7" xfId="0" applyFont="1" applyBorder="1"/>
    <xf numFmtId="1" fontId="4" fillId="0" borderId="8" xfId="0" applyNumberFormat="1" applyFont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2" applyFill="1"/>
    <xf numFmtId="166" fontId="5" fillId="0" borderId="1" xfId="0" applyNumberFormat="1" applyFont="1" applyBorder="1" applyAlignment="1" applyProtection="1">
      <alignment horizontal="center"/>
      <protection locked="0"/>
    </xf>
    <xf numFmtId="22" fontId="14" fillId="0" borderId="0" xfId="0" applyNumberFormat="1" applyFont="1"/>
    <xf numFmtId="166" fontId="9" fillId="0" borderId="0" xfId="1" applyNumberFormat="1" applyFont="1" applyFill="1"/>
    <xf numFmtId="2" fontId="9" fillId="0" borderId="0" xfId="1" applyNumberFormat="1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2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15" fillId="0" borderId="9" xfId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15" fillId="0" borderId="5" xfId="1" applyFont="1" applyBorder="1" applyAlignment="1">
      <alignment horizontal="right"/>
    </xf>
    <xf numFmtId="164" fontId="15" fillId="0" borderId="6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>
      <alignment horizontal="center"/>
    </xf>
    <xf numFmtId="0" fontId="3" fillId="0" borderId="0" xfId="2" applyProtection="1">
      <protection locked="0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Border="1"/>
    <xf numFmtId="0" fontId="19" fillId="0" borderId="0" xfId="0" applyFont="1"/>
    <xf numFmtId="0" fontId="4" fillId="0" borderId="13" xfId="0" applyFont="1" applyBorder="1"/>
    <xf numFmtId="0" fontId="20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4" fillId="0" borderId="12" xfId="0" applyFont="1" applyBorder="1" applyAlignment="1">
      <alignment vertical="top"/>
    </xf>
    <xf numFmtId="0" fontId="21" fillId="0" borderId="0" xfId="0" applyFont="1" applyBorder="1" applyAlignment="1">
      <alignment vertical="top" wrapText="1"/>
    </xf>
    <xf numFmtId="2" fontId="5" fillId="0" borderId="18" xfId="0" applyNumberFormat="1" applyFont="1" applyBorder="1"/>
    <xf numFmtId="167" fontId="5" fillId="0" borderId="18" xfId="0" applyNumberFormat="1" applyFont="1" applyBorder="1"/>
    <xf numFmtId="1" fontId="5" fillId="0" borderId="18" xfId="0" applyNumberFormat="1" applyFont="1" applyBorder="1"/>
    <xf numFmtId="1" fontId="5" fillId="0" borderId="21" xfId="0" applyNumberFormat="1" applyFont="1" applyBorder="1"/>
    <xf numFmtId="2" fontId="18" fillId="0" borderId="16" xfId="0" applyNumberFormat="1" applyFont="1" applyBorder="1"/>
    <xf numFmtId="2" fontId="18" fillId="0" borderId="18" xfId="0" applyNumberFormat="1" applyFont="1" applyBorder="1"/>
    <xf numFmtId="0" fontId="12" fillId="0" borderId="0" xfId="0" applyFont="1"/>
    <xf numFmtId="0" fontId="25" fillId="3" borderId="0" xfId="0" applyFont="1" applyFill="1"/>
    <xf numFmtId="0" fontId="4" fillId="0" borderId="7" xfId="0" applyFont="1" applyBorder="1" applyAlignment="1">
      <alignment horizontal="right"/>
    </xf>
    <xf numFmtId="1" fontId="4" fillId="0" borderId="22" xfId="0" applyNumberFormat="1" applyFont="1" applyBorder="1"/>
    <xf numFmtId="1" fontId="4" fillId="0" borderId="8" xfId="0" applyNumberFormat="1" applyFont="1" applyBorder="1" applyAlignment="1">
      <alignment horizontal="left"/>
    </xf>
    <xf numFmtId="164" fontId="5" fillId="0" borderId="0" xfId="0" applyNumberFormat="1" applyFont="1"/>
    <xf numFmtId="0" fontId="4" fillId="0" borderId="22" xfId="0" applyFont="1" applyBorder="1" applyAlignment="1">
      <alignment horizontal="center"/>
    </xf>
    <xf numFmtId="14" fontId="0" fillId="0" borderId="0" xfId="0" applyNumberFormat="1"/>
    <xf numFmtId="0" fontId="4" fillId="0" borderId="7" xfId="0" applyFont="1" applyBorder="1" applyAlignment="1">
      <alignment horizontal="left"/>
    </xf>
    <xf numFmtId="0" fontId="21" fillId="0" borderId="0" xfId="0" applyFont="1"/>
    <xf numFmtId="0" fontId="21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4">
    <cellStyle name="Followed Hyperlink" xfId="3" builtinId="9" hidden="1"/>
    <cellStyle name="Hyperlink" xfId="2" builtinId="8"/>
    <cellStyle name="Normal" xfId="0" builtinId="0"/>
    <cellStyle name="Normal 2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331694</xdr:colOff>
      <xdr:row>11</xdr:row>
      <xdr:rowOff>17931</xdr:rowOff>
    </xdr:from>
    <xdr:to>
      <xdr:col>0</xdr:col>
      <xdr:colOff>1255059</xdr:colOff>
      <xdr:row>15</xdr:row>
      <xdr:rowOff>136829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694" y="1954307"/>
          <a:ext cx="923365" cy="87686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eng, Lina" id="{C834605C-D73F-46A2-9716-F2F5190D352B}" userId="S::S0076403@stanfordhealthcare.org::d6f826b5-c712-4465-8fe6-69ba535c78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7" dT="2022-08-22T21:59:11.67" personId="{C834605C-D73F-46A2-9716-F2F5190D352B}" id="{BF136587-2264-455F-AEAF-6AEC99023DAF}">
    <text>TDD+ AUC*CL, where CL uses Crass et al estimate if obese.
Max initial TDD= 4.5g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1-12-07T21:45:10.34" personId="{C834605C-D73F-46A2-9716-F2F5190D352B}" id="{43C01FB9-C4A6-45E7-9869-1845DF0E81EA}">
    <text>Based on true trough. only displays if AUC 400-600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K3" dT="2020-05-30T05:48:25.64" personId="{C834605C-D73F-46A2-9716-F2F5190D352B}" id="{47A995BD-FB48-4696-9F56-E6292F5D494F}">
    <text>5/20/20 checked true Cmax equation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d.stanford.edu/content/dam/sm/bugsanddrugs/documents/antimicrobial-dosing-protocols/SHC%20Vancomycin%20Dosing%20Guide.pdf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d.stanford.edu/content/dam/sm/bugsanddrugs/documents/antimicrobial-dosing-protocols/SHC%20Vancomycin%20Dosing%20Guide.pdf" TargetMode="External"/><Relationship Id="rId6" Type="http://schemas.microsoft.com/office/2017/10/relationships/threadedComment" Target="../threadedComments/threadedComment2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zoomScale="125" zoomScaleNormal="125" workbookViewId="0">
      <selection activeCell="D1" sqref="D1"/>
    </sheetView>
  </sheetViews>
  <sheetFormatPr defaultColWidth="8.7109375" defaultRowHeight="12.75" x14ac:dyDescent="0.2"/>
  <cols>
    <col min="1" max="1" width="33.5703125" style="2" customWidth="1"/>
    <col min="2" max="2" width="8.7109375" style="2"/>
    <col min="3" max="3" width="7.42578125" style="2" customWidth="1"/>
    <col min="4" max="4" width="39.28515625" style="2" customWidth="1"/>
    <col min="5" max="5" width="17.42578125" style="2" bestFit="1" customWidth="1"/>
    <col min="6" max="9" width="11" style="2" customWidth="1"/>
    <col min="10" max="16384" width="8.7109375" style="2"/>
  </cols>
  <sheetData>
    <row r="1" spans="1:7" ht="15" x14ac:dyDescent="0.25">
      <c r="A1" s="1" t="s">
        <v>131</v>
      </c>
      <c r="D1" s="58" t="s">
        <v>0</v>
      </c>
    </row>
    <row r="2" spans="1:7" ht="15" x14ac:dyDescent="0.25">
      <c r="A2" s="1"/>
      <c r="D2" s="34"/>
    </row>
    <row r="3" spans="1:7" x14ac:dyDescent="0.2">
      <c r="A3" s="1" t="s">
        <v>1</v>
      </c>
    </row>
    <row r="4" spans="1:7" x14ac:dyDescent="0.2">
      <c r="A4" s="1"/>
    </row>
    <row r="5" spans="1:7" x14ac:dyDescent="0.2">
      <c r="A5" s="3"/>
      <c r="E5" s="15"/>
    </row>
    <row r="6" spans="1:7" x14ac:dyDescent="0.2">
      <c r="A6" s="3" t="s">
        <v>2</v>
      </c>
      <c r="B6" s="32"/>
      <c r="D6" s="3" t="s">
        <v>3</v>
      </c>
    </row>
    <row r="7" spans="1:7" ht="15.75" x14ac:dyDescent="0.3">
      <c r="A7" s="64" t="s">
        <v>4</v>
      </c>
      <c r="B7" s="10">
        <v>500</v>
      </c>
      <c r="D7" s="6" t="s">
        <v>5</v>
      </c>
      <c r="E7" s="63" t="str">
        <f>IF(B12="yes", E48,E30)</f>
        <v>n/a</v>
      </c>
    </row>
    <row r="8" spans="1:7" x14ac:dyDescent="0.2">
      <c r="A8" s="65" t="s">
        <v>6</v>
      </c>
      <c r="B8" s="10"/>
      <c r="D8" s="6" t="s">
        <v>7</v>
      </c>
      <c r="E8" s="67" t="str">
        <f>IF(B12="yes", E49,E31)</f>
        <v>n/a</v>
      </c>
    </row>
    <row r="9" spans="1:7" x14ac:dyDescent="0.2">
      <c r="A9" s="65" t="s">
        <v>8</v>
      </c>
      <c r="B9" s="10"/>
      <c r="D9" s="6" t="s">
        <v>9</v>
      </c>
      <c r="E9" s="14">
        <f>IF(B12="yes", E41, 0.7*B9)</f>
        <v>0</v>
      </c>
    </row>
    <row r="10" spans="1:7" ht="13.5" thickBot="1" x14ac:dyDescent="0.25">
      <c r="A10" s="65"/>
      <c r="D10" s="33"/>
      <c r="E10" s="33"/>
    </row>
    <row r="11" spans="1:7" ht="12.75" customHeight="1" x14ac:dyDescent="0.2">
      <c r="D11" s="102" t="s">
        <v>10</v>
      </c>
      <c r="E11" s="103"/>
    </row>
    <row r="12" spans="1:7" ht="13.5" customHeight="1" x14ac:dyDescent="0.2">
      <c r="A12" s="66" t="s">
        <v>11</v>
      </c>
      <c r="B12" s="10"/>
      <c r="D12" s="104"/>
      <c r="E12" s="105"/>
    </row>
    <row r="13" spans="1:7" ht="12.75" customHeight="1" x14ac:dyDescent="0.2">
      <c r="A13" s="64" t="s">
        <v>12</v>
      </c>
      <c r="B13" s="10"/>
      <c r="D13" s="104"/>
      <c r="E13" s="105"/>
      <c r="F13" s="71"/>
      <c r="G13" s="71"/>
    </row>
    <row r="14" spans="1:7" ht="15.75" customHeight="1" x14ac:dyDescent="0.2">
      <c r="A14" s="64" t="s">
        <v>13</v>
      </c>
      <c r="B14" s="10"/>
      <c r="D14" s="104"/>
      <c r="E14" s="105"/>
    </row>
    <row r="15" spans="1:7" ht="15" customHeight="1" thickBot="1" x14ac:dyDescent="0.25">
      <c r="A15" s="64" t="s">
        <v>14</v>
      </c>
      <c r="B15" s="10"/>
      <c r="D15" s="106"/>
      <c r="E15" s="107"/>
    </row>
    <row r="16" spans="1:7" ht="15" customHeight="1" thickBot="1" x14ac:dyDescent="0.25"/>
    <row r="17" spans="4:9" x14ac:dyDescent="0.2">
      <c r="D17" s="81" t="s">
        <v>15</v>
      </c>
      <c r="E17" s="100" t="s">
        <v>127</v>
      </c>
    </row>
    <row r="18" spans="4:9" ht="13.5" thickBot="1" x14ac:dyDescent="0.25">
      <c r="D18" s="70"/>
      <c r="E18" s="101"/>
    </row>
    <row r="19" spans="4:9" x14ac:dyDescent="0.2">
      <c r="D19" s="59" t="s">
        <v>128</v>
      </c>
      <c r="E19" s="61" t="str">
        <f>E46</f>
        <v>n/a</v>
      </c>
    </row>
    <row r="20" spans="4:9" ht="12.75" customHeight="1" thickBot="1" x14ac:dyDescent="0.25">
      <c r="D20" s="60" t="s">
        <v>129</v>
      </c>
      <c r="E20" s="62">
        <f>E35</f>
        <v>0</v>
      </c>
    </row>
    <row r="21" spans="4:9" x14ac:dyDescent="0.2">
      <c r="D21" s="99" t="s">
        <v>16</v>
      </c>
      <c r="E21" s="99"/>
    </row>
    <row r="22" spans="4:9" x14ac:dyDescent="0.2">
      <c r="D22" s="82"/>
      <c r="E22" s="82"/>
    </row>
    <row r="23" spans="4:9" x14ac:dyDescent="0.2">
      <c r="F23" s="72"/>
      <c r="G23" s="72"/>
      <c r="H23" s="72"/>
      <c r="I23" s="72"/>
    </row>
    <row r="24" spans="4:9" hidden="1" x14ac:dyDescent="0.2">
      <c r="D24" s="89" t="s">
        <v>17</v>
      </c>
      <c r="E24" s="69"/>
    </row>
    <row r="25" spans="4:9" hidden="1" x14ac:dyDescent="0.2">
      <c r="D25" s="73" t="s">
        <v>18</v>
      </c>
      <c r="E25" s="75">
        <f>IF(B8&gt;150,150,(B8))</f>
        <v>0</v>
      </c>
    </row>
    <row r="26" spans="4:9" hidden="1" x14ac:dyDescent="0.2">
      <c r="D26" s="76" t="s">
        <v>19</v>
      </c>
      <c r="E26" s="83">
        <f>E29*E9</f>
        <v>0</v>
      </c>
    </row>
    <row r="27" spans="4:9" hidden="1" x14ac:dyDescent="0.2">
      <c r="D27" s="76" t="s">
        <v>20</v>
      </c>
      <c r="E27" s="83">
        <f>IF(E26&gt;9, 9, E26)</f>
        <v>0</v>
      </c>
    </row>
    <row r="28" spans="4:9" hidden="1" x14ac:dyDescent="0.2">
      <c r="D28" s="76" t="s">
        <v>21</v>
      </c>
      <c r="E28" s="83">
        <f xml:space="preserve"> IF(B12="yes", E40,E27)</f>
        <v>0</v>
      </c>
    </row>
    <row r="29" spans="4:9" hidden="1" x14ac:dyDescent="0.2">
      <c r="D29" s="76" t="s">
        <v>5</v>
      </c>
      <c r="E29" s="77">
        <f>(0.00083*(E25)+0.0044)</f>
        <v>4.4000000000000003E-3</v>
      </c>
    </row>
    <row r="30" spans="4:9" hidden="1" x14ac:dyDescent="0.2">
      <c r="D30" s="76" t="s">
        <v>130</v>
      </c>
      <c r="E30" s="77" t="str">
        <f>IF(B9&gt;0, E29, "n/a")</f>
        <v>n/a</v>
      </c>
      <c r="F30" s="57"/>
    </row>
    <row r="31" spans="4:9" hidden="1" x14ac:dyDescent="0.2">
      <c r="D31" s="76" t="s">
        <v>22</v>
      </c>
      <c r="E31" s="84" t="str">
        <f>IF(B9&gt;0, (0.693/E29), "n/a")</f>
        <v>n/a</v>
      </c>
    </row>
    <row r="32" spans="4:9" hidden="1" x14ac:dyDescent="0.2">
      <c r="D32" s="76"/>
      <c r="E32" s="77"/>
    </row>
    <row r="33" spans="4:9" hidden="1" x14ac:dyDescent="0.2">
      <c r="D33" s="76" t="s">
        <v>23</v>
      </c>
      <c r="E33" s="85">
        <f>E26*B7</f>
        <v>0</v>
      </c>
    </row>
    <row r="34" spans="4:9" hidden="1" x14ac:dyDescent="0.2">
      <c r="D34" s="76" t="s">
        <v>24</v>
      </c>
      <c r="E34" s="85">
        <f>IF(E33&gt;4500, 4500, E33)</f>
        <v>0</v>
      </c>
    </row>
    <row r="35" spans="4:9" hidden="1" x14ac:dyDescent="0.2">
      <c r="D35" s="78" t="s">
        <v>123</v>
      </c>
      <c r="E35" s="86">
        <f>IF(B12="yes", "n/a", E34)</f>
        <v>0</v>
      </c>
    </row>
    <row r="36" spans="4:9" hidden="1" x14ac:dyDescent="0.2"/>
    <row r="37" spans="4:9" hidden="1" x14ac:dyDescent="0.2">
      <c r="D37" s="2" t="s">
        <v>26</v>
      </c>
      <c r="F37" s="2" t="s">
        <v>27</v>
      </c>
    </row>
    <row r="38" spans="4:9" hidden="1" x14ac:dyDescent="0.2">
      <c r="D38" s="73" t="s">
        <v>121</v>
      </c>
      <c r="E38" s="87">
        <f>9.656-(0.078*B13)-(2.009*B14)+(1.09*B15)+(0.04*B9^0.75)</f>
        <v>9.6560000000000006</v>
      </c>
      <c r="F38" s="74" t="s">
        <v>28</v>
      </c>
      <c r="G38" s="74">
        <f>15*B9</f>
        <v>0</v>
      </c>
      <c r="H38" s="74" t="s">
        <v>29</v>
      </c>
      <c r="I38" s="75">
        <f>25*B9</f>
        <v>0</v>
      </c>
    </row>
    <row r="39" spans="4:9" hidden="1" x14ac:dyDescent="0.2">
      <c r="D39" s="76" t="s">
        <v>30</v>
      </c>
      <c r="E39" s="83">
        <f>IF(E38&gt;9, 9, E38)</f>
        <v>9</v>
      </c>
      <c r="F39" s="68" t="s">
        <v>31</v>
      </c>
      <c r="G39" s="68">
        <f>IF(G38&gt;4500, 4500, G38)</f>
        <v>0</v>
      </c>
      <c r="H39" s="68"/>
      <c r="I39" s="77">
        <f>IF(I38&gt;4500, 4500, I38)</f>
        <v>0</v>
      </c>
    </row>
    <row r="40" spans="4:9" hidden="1" x14ac:dyDescent="0.2">
      <c r="D40" s="76" t="s">
        <v>32</v>
      </c>
      <c r="E40" s="88" t="str">
        <f>IF(B13&lt;1, "enter data", (E39))</f>
        <v>enter data</v>
      </c>
      <c r="F40" s="68" t="s">
        <v>25</v>
      </c>
      <c r="G40" s="68" t="str">
        <f>IF(B12="yes", G39, "n/a")</f>
        <v>n/a</v>
      </c>
      <c r="H40" s="68" t="s">
        <v>25</v>
      </c>
      <c r="I40" s="77" t="str">
        <f>IF(B12="yes", I39, "n/a")</f>
        <v>n/a</v>
      </c>
    </row>
    <row r="41" spans="4:9" hidden="1" x14ac:dyDescent="0.2">
      <c r="D41" s="76" t="s">
        <v>122</v>
      </c>
      <c r="E41" s="88">
        <f>0.6*B9</f>
        <v>0</v>
      </c>
      <c r="F41" s="68"/>
      <c r="G41" s="68"/>
      <c r="H41" s="68"/>
      <c r="I41" s="77"/>
    </row>
    <row r="42" spans="4:9" hidden="1" x14ac:dyDescent="0.2">
      <c r="D42" s="76"/>
      <c r="E42" s="77"/>
      <c r="F42" s="68" t="s">
        <v>34</v>
      </c>
      <c r="G42" s="68">
        <f>20*B9</f>
        <v>0</v>
      </c>
      <c r="H42" s="68" t="s">
        <v>35</v>
      </c>
      <c r="I42" s="77">
        <f>30*B9</f>
        <v>0</v>
      </c>
    </row>
    <row r="43" spans="4:9" hidden="1" x14ac:dyDescent="0.2">
      <c r="D43" s="76" t="s">
        <v>33</v>
      </c>
      <c r="E43" s="85">
        <f>(B7*E39)</f>
        <v>4500</v>
      </c>
      <c r="F43" s="68" t="s">
        <v>37</v>
      </c>
      <c r="G43" s="68">
        <f>IF(G42&gt;4500, 4500, G42)</f>
        <v>0</v>
      </c>
      <c r="H43" s="68" t="s">
        <v>37</v>
      </c>
      <c r="I43" s="77">
        <f>IF(I42&gt;4500, 4500, I42)</f>
        <v>0</v>
      </c>
    </row>
    <row r="44" spans="4:9" hidden="1" x14ac:dyDescent="0.2">
      <c r="D44" s="76" t="s">
        <v>36</v>
      </c>
      <c r="E44" s="85">
        <f>IF(E43&gt;4500, 4500, E43)</f>
        <v>4500</v>
      </c>
      <c r="F44" s="79" t="s">
        <v>25</v>
      </c>
      <c r="G44" s="79" t="str">
        <f>IF(B12="yes", G43, "n/a")</f>
        <v>n/a</v>
      </c>
      <c r="H44" s="79" t="s">
        <v>25</v>
      </c>
      <c r="I44" s="80" t="str">
        <f>IF(B12="yes", I43, "n/a")</f>
        <v>n/a</v>
      </c>
    </row>
    <row r="45" spans="4:9" hidden="1" x14ac:dyDescent="0.2">
      <c r="D45" s="76" t="s">
        <v>38</v>
      </c>
      <c r="E45" s="85" t="str">
        <f>IF(B13&lt;1,"please enter data", (E44))</f>
        <v>please enter data</v>
      </c>
    </row>
    <row r="46" spans="4:9" hidden="1" x14ac:dyDescent="0.2">
      <c r="D46" s="76" t="s">
        <v>39</v>
      </c>
      <c r="E46" s="85" t="str">
        <f>IF(B12="yes", E45, "n/a")</f>
        <v>n/a</v>
      </c>
    </row>
    <row r="47" spans="4:9" hidden="1" x14ac:dyDescent="0.2">
      <c r="D47" s="76"/>
      <c r="E47" s="77"/>
    </row>
    <row r="48" spans="4:9" hidden="1" x14ac:dyDescent="0.2">
      <c r="D48" s="76" t="s">
        <v>124</v>
      </c>
      <c r="E48" s="77" t="e">
        <f>E40/E41</f>
        <v>#VALUE!</v>
      </c>
    </row>
    <row r="49" spans="4:5" hidden="1" x14ac:dyDescent="0.2">
      <c r="D49" s="78" t="s">
        <v>125</v>
      </c>
      <c r="E49" s="80" t="e">
        <f>0.693/E48</f>
        <v>#VALUE!</v>
      </c>
    </row>
    <row r="100" spans="1:1" x14ac:dyDescent="0.2">
      <c r="A100" s="2" t="s">
        <v>40</v>
      </c>
    </row>
    <row r="101" spans="1:1" x14ac:dyDescent="0.2">
      <c r="A101" s="2" t="s">
        <v>41</v>
      </c>
    </row>
    <row r="102" spans="1:1" x14ac:dyDescent="0.2">
      <c r="A102" s="2" t="s">
        <v>42</v>
      </c>
    </row>
  </sheetData>
  <sheetProtection algorithmName="SHA-512" hashValue="wmFebe6NJT6Qq8H/As5e8HmVazrsjiMCBbNslhV08OtVxmM+QvfCAbEdtCeal5776xmKTR495EY4h2YNlpSZew==" saltValue="RuLyaBThcmt1QqamPNcueQ==" spinCount="100000" sheet="1" selectLockedCells="1"/>
  <mergeCells count="3">
    <mergeCell ref="D21:E21"/>
    <mergeCell ref="E17:E18"/>
    <mergeCell ref="D11:E15"/>
  </mergeCells>
  <dataValidations count="1">
    <dataValidation type="list" allowBlank="1" showInputMessage="1" showErrorMessage="1" sqref="B12" xr:uid="{00000000-0002-0000-0000-000000000000}">
      <formula1>"yes, no"</formula1>
    </dataValidation>
  </dataValidations>
  <hyperlinks>
    <hyperlink ref="D1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abSelected="1" zoomScale="125" zoomScaleNormal="125" workbookViewId="0">
      <selection activeCell="B6" sqref="B6"/>
    </sheetView>
  </sheetViews>
  <sheetFormatPr defaultColWidth="8.7109375" defaultRowHeight="12.75" x14ac:dyDescent="0.2"/>
  <cols>
    <col min="1" max="1" width="44.42578125" style="2" customWidth="1"/>
    <col min="2" max="2" width="13.28515625" style="2" bestFit="1" customWidth="1"/>
    <col min="3" max="3" width="12.7109375" style="2" bestFit="1" customWidth="1"/>
    <col min="4" max="4" width="42.7109375" style="2" bestFit="1" customWidth="1"/>
    <col min="5" max="5" width="9.85546875" style="11" customWidth="1"/>
    <col min="6" max="6" width="3" style="2" customWidth="1"/>
    <col min="7" max="16384" width="8.7109375" style="2"/>
  </cols>
  <sheetData>
    <row r="1" spans="1:7" ht="15" x14ac:dyDescent="0.25">
      <c r="A1" s="1" t="s">
        <v>131</v>
      </c>
      <c r="D1" s="58" t="s">
        <v>0</v>
      </c>
    </row>
    <row r="2" spans="1:7" s="48" customFormat="1" ht="15" x14ac:dyDescent="0.25">
      <c r="A2" s="47"/>
      <c r="D2" s="49"/>
      <c r="E2" s="50"/>
    </row>
    <row r="3" spans="1:7" s="39" customFormat="1" ht="15" x14ac:dyDescent="0.25">
      <c r="A3" s="41" t="s">
        <v>43</v>
      </c>
      <c r="D3" s="42"/>
      <c r="E3" s="40"/>
    </row>
    <row r="5" spans="1:7" x14ac:dyDescent="0.2">
      <c r="A5" s="3" t="s">
        <v>44</v>
      </c>
      <c r="D5" s="3" t="s">
        <v>3</v>
      </c>
    </row>
    <row r="6" spans="1:7" x14ac:dyDescent="0.2">
      <c r="A6" s="6" t="s">
        <v>45</v>
      </c>
      <c r="B6" s="10"/>
      <c r="D6" s="1" t="s">
        <v>46</v>
      </c>
      <c r="E6" s="14" t="str">
        <f>IF(B14&gt;1, Calculation_Details!E6, "n/a")</f>
        <v>n/a</v>
      </c>
    </row>
    <row r="7" spans="1:7" ht="14.25" x14ac:dyDescent="0.2">
      <c r="A7" s="6" t="s">
        <v>47</v>
      </c>
      <c r="B7" s="16"/>
      <c r="C7" s="4"/>
      <c r="D7" s="1" t="s">
        <v>48</v>
      </c>
      <c r="E7" s="63" t="str">
        <f>IF(B14&gt;1, Calculation_Details!A6, "n/a")</f>
        <v>n/a</v>
      </c>
    </row>
    <row r="8" spans="1:7" ht="14.25" x14ac:dyDescent="0.25">
      <c r="A8" s="6" t="s">
        <v>49</v>
      </c>
      <c r="B8" s="10"/>
      <c r="D8" s="1" t="s">
        <v>50</v>
      </c>
      <c r="E8" s="14" t="str">
        <f>IF(B14&gt;1, Calculation_Details!B6, "n/a")</f>
        <v>n/a</v>
      </c>
    </row>
    <row r="9" spans="1:7" x14ac:dyDescent="0.2">
      <c r="A9" s="6"/>
      <c r="B9" s="11"/>
      <c r="D9" s="1" t="s">
        <v>51</v>
      </c>
      <c r="E9" s="14" t="str">
        <f>IF(B14&gt;1, Calculation_Details!K3, "n/a")</f>
        <v>n/a</v>
      </c>
    </row>
    <row r="10" spans="1:7" x14ac:dyDescent="0.2">
      <c r="A10" s="4" t="s">
        <v>52</v>
      </c>
      <c r="B10" s="15"/>
      <c r="D10" s="1" t="s">
        <v>53</v>
      </c>
      <c r="E10" s="14" t="str">
        <f>IF(B14&gt;1, Calculation_Details!L3, "n/a")</f>
        <v>n/a</v>
      </c>
    </row>
    <row r="11" spans="1:7" ht="13.5" thickBot="1" x14ac:dyDescent="0.25">
      <c r="A11" s="6" t="s">
        <v>54</v>
      </c>
      <c r="B11" s="43"/>
      <c r="C11" s="44"/>
      <c r="D11" s="1"/>
      <c r="E11" s="14"/>
    </row>
    <row r="12" spans="1:7" ht="15" thickBot="1" x14ac:dyDescent="0.3">
      <c r="A12" s="6" t="s">
        <v>55</v>
      </c>
      <c r="B12" s="56"/>
      <c r="D12" s="37" t="s">
        <v>56</v>
      </c>
      <c r="E12" s="38" t="str">
        <f>IF(B14&gt;1, Calculation_Details!G9, "input data")</f>
        <v>input data</v>
      </c>
      <c r="G12" s="98" t="s">
        <v>120</v>
      </c>
    </row>
    <row r="13" spans="1:7" ht="13.5" thickBot="1" x14ac:dyDescent="0.25">
      <c r="A13" s="7" t="s">
        <v>57</v>
      </c>
      <c r="B13" s="43"/>
    </row>
    <row r="14" spans="1:7" ht="13.5" thickBot="1" x14ac:dyDescent="0.25">
      <c r="A14" s="6" t="s">
        <v>58</v>
      </c>
      <c r="B14" s="56"/>
      <c r="D14" s="97" t="s">
        <v>113</v>
      </c>
      <c r="E14" s="92" t="str">
        <f>IF(AND(E12&gt;400, E12&lt;601), (E10*400)/E12, "n/a")</f>
        <v>n/a</v>
      </c>
      <c r="F14" s="95" t="s">
        <v>111</v>
      </c>
      <c r="G14" s="93" t="str">
        <f>IF(AND(E12&gt;400, E12&lt;601),(E10*600)/E12, "n/a")</f>
        <v>n/a</v>
      </c>
    </row>
    <row r="15" spans="1:7" x14ac:dyDescent="0.2">
      <c r="A15" s="7" t="s">
        <v>59</v>
      </c>
      <c r="B15" s="43"/>
    </row>
    <row r="16" spans="1:7" x14ac:dyDescent="0.2">
      <c r="A16" s="6"/>
      <c r="B16" s="11"/>
    </row>
    <row r="17" spans="1:8" s="48" customFormat="1" x14ac:dyDescent="0.2">
      <c r="B17" s="51"/>
      <c r="E17" s="50"/>
    </row>
    <row r="18" spans="1:8" s="39" customFormat="1" x14ac:dyDescent="0.2">
      <c r="A18" s="41" t="s">
        <v>60</v>
      </c>
      <c r="E18" s="40"/>
    </row>
    <row r="20" spans="1:8" x14ac:dyDescent="0.2">
      <c r="A20" s="3" t="s">
        <v>2</v>
      </c>
      <c r="B20" s="32"/>
      <c r="D20" s="3" t="s">
        <v>3</v>
      </c>
      <c r="E20" s="2"/>
    </row>
    <row r="21" spans="1:8" ht="15.75" x14ac:dyDescent="0.3">
      <c r="A21" s="6" t="s">
        <v>4</v>
      </c>
      <c r="B21" s="10">
        <v>500</v>
      </c>
      <c r="D21" s="6" t="s">
        <v>61</v>
      </c>
      <c r="E21" s="13" t="str">
        <f>IF(B14&gt;1, Calculation_Details!C12, "n/a")</f>
        <v>n/a</v>
      </c>
    </row>
    <row r="22" spans="1:8" x14ac:dyDescent="0.2">
      <c r="A22" s="9"/>
      <c r="D22" s="8" t="s">
        <v>62</v>
      </c>
      <c r="E22" s="11" t="str">
        <f>IF(B14&gt;1, Calculation_Details!D12, "n/a")</f>
        <v>n/a</v>
      </c>
    </row>
    <row r="23" spans="1:8" x14ac:dyDescent="0.2">
      <c r="B23" s="11"/>
      <c r="D23" s="6"/>
    </row>
    <row r="24" spans="1:8" ht="13.5" thickBot="1" x14ac:dyDescent="0.25">
      <c r="A24" s="5" t="s">
        <v>63</v>
      </c>
      <c r="B24" s="12"/>
      <c r="C24" s="5"/>
      <c r="E24" s="2"/>
    </row>
    <row r="25" spans="1:8" ht="14.25" x14ac:dyDescent="0.25">
      <c r="A25" s="6" t="s">
        <v>64</v>
      </c>
      <c r="B25" s="10"/>
      <c r="D25" s="35" t="s">
        <v>65</v>
      </c>
      <c r="E25" s="36" t="str">
        <f>IF(B25 &gt;0, Calculation_Details!H15, "n/a")</f>
        <v>n/a</v>
      </c>
    </row>
    <row r="26" spans="1:8" x14ac:dyDescent="0.2">
      <c r="A26" s="8" t="s">
        <v>66</v>
      </c>
      <c r="B26" s="10"/>
      <c r="D26" s="52" t="s">
        <v>67</v>
      </c>
      <c r="E26" s="53" t="str">
        <f>IF(B25 &gt;0, Calculation_Details!G15, "n/a")</f>
        <v>n/a</v>
      </c>
    </row>
    <row r="27" spans="1:8" ht="13.5" thickBot="1" x14ac:dyDescent="0.25">
      <c r="A27" s="6" t="s">
        <v>49</v>
      </c>
      <c r="B27" s="10"/>
      <c r="D27" s="54" t="s">
        <v>68</v>
      </c>
      <c r="E27" s="55" t="str">
        <f>IF(B25 &gt;0, Calculation_Details!E15, "n/a")</f>
        <v>n/a</v>
      </c>
    </row>
    <row r="29" spans="1:8" s="90" customFormat="1" ht="15" x14ac:dyDescent="0.25">
      <c r="A29" s="41" t="s">
        <v>114</v>
      </c>
      <c r="B29" s="41"/>
      <c r="C29" s="41"/>
      <c r="D29" s="41"/>
      <c r="E29" s="41"/>
      <c r="F29" s="41"/>
      <c r="G29" s="41"/>
      <c r="H29" s="41"/>
    </row>
    <row r="30" spans="1:8" customFormat="1" ht="15" x14ac:dyDescent="0.25">
      <c r="A30" s="3"/>
      <c r="B30" s="2"/>
      <c r="C30" s="2"/>
      <c r="D30" s="2"/>
      <c r="E30" s="2"/>
      <c r="F30" s="2"/>
      <c r="G30" s="2"/>
      <c r="H30" s="2"/>
    </row>
    <row r="31" spans="1:8" customFormat="1" ht="15" x14ac:dyDescent="0.25">
      <c r="A31" s="3" t="s">
        <v>106</v>
      </c>
      <c r="B31" s="2"/>
      <c r="C31" s="3"/>
      <c r="D31" s="3" t="s">
        <v>107</v>
      </c>
      <c r="E31" s="2"/>
      <c r="F31" s="2"/>
      <c r="G31" s="2"/>
      <c r="H31" s="2"/>
    </row>
    <row r="32" spans="1:8" customFormat="1" ht="15.75" x14ac:dyDescent="0.3">
      <c r="A32" s="6" t="s">
        <v>112</v>
      </c>
      <c r="B32" s="10"/>
      <c r="C32" s="2"/>
      <c r="D32" s="6" t="s">
        <v>108</v>
      </c>
      <c r="E32" s="94" t="str">
        <f>IF(B33&gt;1, (B33*400)/B32, "n/a")</f>
        <v>n/a</v>
      </c>
      <c r="F32" s="2"/>
      <c r="G32" s="2"/>
      <c r="H32" s="2"/>
    </row>
    <row r="33" spans="1:8" customFormat="1" ht="15" x14ac:dyDescent="0.25">
      <c r="A33" s="6" t="s">
        <v>115</v>
      </c>
      <c r="B33" s="10"/>
      <c r="C33" s="2"/>
      <c r="D33" s="6" t="s">
        <v>109</v>
      </c>
      <c r="E33" s="94" t="str">
        <f>IF(B33&gt;1, (B33*600)/B32, "n/a")</f>
        <v>n/a</v>
      </c>
      <c r="F33" s="2"/>
      <c r="G33" s="2"/>
      <c r="H33" s="2"/>
    </row>
    <row r="34" spans="1:8" customFormat="1" ht="15.75" thickBot="1" x14ac:dyDescent="0.3">
      <c r="A34" s="2"/>
      <c r="B34" s="2"/>
      <c r="C34" s="2"/>
      <c r="D34" s="2"/>
      <c r="E34" s="2"/>
      <c r="F34" s="2"/>
      <c r="G34" s="2"/>
      <c r="H34" s="2"/>
    </row>
    <row r="35" spans="1:8" customFormat="1" ht="15.75" thickBot="1" x14ac:dyDescent="0.3">
      <c r="A35" s="2"/>
      <c r="B35" s="2"/>
      <c r="C35" s="2"/>
      <c r="D35" s="91" t="s">
        <v>110</v>
      </c>
      <c r="E35" s="92" t="str">
        <f>E32</f>
        <v>n/a</v>
      </c>
      <c r="F35" s="95" t="s">
        <v>111</v>
      </c>
      <c r="G35" s="93" t="str">
        <f>E33</f>
        <v>n/a</v>
      </c>
      <c r="H35" s="2"/>
    </row>
  </sheetData>
  <sheetProtection algorithmName="SHA-512" hashValue="AvpPnxXuaeNegT8s4ew4mygNa04zSpS5rjuR3o5kOAv3Db9XyYlfKgQ/y9cqD8zO5OFkz2ogI0VOBiw06wfjzA==" saltValue="OFmlB2y+NPHwtc+bLu3N/Q==" spinCount="100000" sheet="1" selectLockedCells="1"/>
  <conditionalFormatting sqref="E9">
    <cfRule type="cellIs" dxfId="1" priority="2" operator="between">
      <formula>40</formula>
      <formula>100</formula>
    </cfRule>
  </conditionalFormatting>
  <conditionalFormatting sqref="E8">
    <cfRule type="cellIs" dxfId="0" priority="1" operator="between">
      <formula>1</formula>
      <formula>6</formula>
    </cfRule>
  </conditionalFormatting>
  <hyperlinks>
    <hyperlink ref="D1" r:id="rId1" xr:uid="{00000000-0004-0000-0100-000000000000}"/>
  </hyperlinks>
  <pageMargins left="0.7" right="0.7" top="0.75" bottom="0.75" header="0.3" footer="0.3"/>
  <pageSetup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8931-81E5-43AB-859F-8D5EA2E65F1D}">
  <dimension ref="A2:D23"/>
  <sheetViews>
    <sheetView workbookViewId="0">
      <selection activeCell="B18" sqref="B18"/>
    </sheetView>
  </sheetViews>
  <sheetFormatPr defaultRowHeight="15" x14ac:dyDescent="0.25"/>
  <cols>
    <col min="1" max="1" width="9.7109375" bestFit="1" customWidth="1"/>
    <col min="2" max="2" width="72.140625" customWidth="1"/>
    <col min="4" max="4" width="12.28515625" hidden="1" customWidth="1"/>
  </cols>
  <sheetData>
    <row r="2" spans="1:4" x14ac:dyDescent="0.25">
      <c r="A2" s="96">
        <v>44537</v>
      </c>
      <c r="B2" t="s">
        <v>119</v>
      </c>
    </row>
    <row r="3" spans="1:4" x14ac:dyDescent="0.25">
      <c r="B3" t="s">
        <v>116</v>
      </c>
      <c r="D3" s="10">
        <v>1000</v>
      </c>
    </row>
    <row r="4" spans="1:4" x14ac:dyDescent="0.25">
      <c r="D4" s="16">
        <v>12</v>
      </c>
    </row>
    <row r="5" spans="1:4" x14ac:dyDescent="0.25">
      <c r="D5" s="10">
        <v>1</v>
      </c>
    </row>
    <row r="6" spans="1:4" x14ac:dyDescent="0.25">
      <c r="D6" s="11"/>
    </row>
    <row r="7" spans="1:4" x14ac:dyDescent="0.25">
      <c r="D7" s="15"/>
    </row>
    <row r="8" spans="1:4" x14ac:dyDescent="0.25">
      <c r="D8" s="43">
        <v>44531.333333333336</v>
      </c>
    </row>
    <row r="9" spans="1:4" x14ac:dyDescent="0.25">
      <c r="D9" s="56">
        <v>30</v>
      </c>
    </row>
    <row r="10" spans="1:4" x14ac:dyDescent="0.25">
      <c r="D10" s="43">
        <v>44531.416666666664</v>
      </c>
    </row>
    <row r="11" spans="1:4" x14ac:dyDescent="0.25">
      <c r="D11" s="56">
        <v>12</v>
      </c>
    </row>
    <row r="12" spans="1:4" x14ac:dyDescent="0.25">
      <c r="D12" s="43">
        <v>44531.708333333336</v>
      </c>
    </row>
    <row r="14" spans="1:4" x14ac:dyDescent="0.25">
      <c r="A14" s="96">
        <v>44795</v>
      </c>
      <c r="B14" t="s">
        <v>119</v>
      </c>
      <c r="D14" s="10">
        <v>1000</v>
      </c>
    </row>
    <row r="15" spans="1:4" x14ac:dyDescent="0.25">
      <c r="B15" t="s">
        <v>117</v>
      </c>
      <c r="D15" s="16">
        <v>12</v>
      </c>
    </row>
    <row r="16" spans="1:4" x14ac:dyDescent="0.25">
      <c r="B16" t="s">
        <v>118</v>
      </c>
      <c r="D16" s="10">
        <v>1</v>
      </c>
    </row>
    <row r="17" spans="2:4" x14ac:dyDescent="0.25">
      <c r="B17" t="s">
        <v>132</v>
      </c>
      <c r="D17" s="11"/>
    </row>
    <row r="18" spans="2:4" x14ac:dyDescent="0.25">
      <c r="B18" t="s">
        <v>126</v>
      </c>
      <c r="D18" s="15"/>
    </row>
    <row r="19" spans="2:4" x14ac:dyDescent="0.25">
      <c r="D19" s="43">
        <v>44743</v>
      </c>
    </row>
    <row r="20" spans="2:4" x14ac:dyDescent="0.25">
      <c r="D20" s="56">
        <v>30</v>
      </c>
    </row>
    <row r="21" spans="2:4" x14ac:dyDescent="0.25">
      <c r="D21" s="43">
        <v>44743.125</v>
      </c>
    </row>
    <row r="22" spans="2:4" x14ac:dyDescent="0.25">
      <c r="D22" s="56">
        <v>10</v>
      </c>
    </row>
    <row r="23" spans="2:4" x14ac:dyDescent="0.25">
      <c r="D23" s="43">
        <v>44743.479166666664</v>
      </c>
    </row>
  </sheetData>
  <sheetProtection algorithmName="SHA-512" hashValue="ZwOFB4XHTRbnArrBttJn/+DFzFzIJqwKqI8UYeoPi9RmrKErE8OG6UtcAnXuvKRmHLDDG44QCN7B4/eMIvsy/Q==" saltValue="EvZpTPNwIUkX24h54YzkI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P17"/>
  <sheetViews>
    <sheetView zoomScale="160" zoomScaleNormal="160" workbookViewId="0">
      <selection activeCell="E7" sqref="E7"/>
    </sheetView>
  </sheetViews>
  <sheetFormatPr defaultColWidth="0" defaultRowHeight="0" customHeight="1" zeroHeight="1" x14ac:dyDescent="0.2"/>
  <cols>
    <col min="1" max="2" width="8.7109375" style="19" customWidth="1"/>
    <col min="3" max="3" width="13.42578125" style="19" customWidth="1"/>
    <col min="4" max="4" width="10.28515625" style="19" customWidth="1"/>
    <col min="5" max="5" width="12.7109375" style="19" bestFit="1" customWidth="1"/>
    <col min="6" max="6" width="11" style="19" customWidth="1"/>
    <col min="7" max="7" width="9.28515625" style="19" customWidth="1"/>
    <col min="8" max="8" width="12.28515625" style="19" bestFit="1" customWidth="1"/>
    <col min="9" max="9" width="8.7109375" style="19" customWidth="1"/>
    <col min="10" max="10" width="19" style="19" bestFit="1" customWidth="1"/>
    <col min="11" max="258" width="8.7109375" style="19" customWidth="1"/>
    <col min="259" max="259" width="11" style="19" customWidth="1"/>
    <col min="260" max="260" width="13.42578125" style="19" bestFit="1" customWidth="1"/>
    <col min="261" max="261" width="15.7109375" style="19" customWidth="1"/>
    <col min="262" max="262" width="16" style="19" customWidth="1"/>
    <col min="263" max="264" width="8.7109375" style="19" customWidth="1"/>
    <col min="265" max="514" width="8.7109375" style="19" hidden="1"/>
    <col min="515" max="515" width="11" style="19" customWidth="1"/>
    <col min="516" max="516" width="13.42578125" style="19" bestFit="1" customWidth="1"/>
    <col min="517" max="517" width="15.7109375" style="19" customWidth="1"/>
    <col min="518" max="518" width="16" style="19" customWidth="1"/>
    <col min="519" max="520" width="8.7109375" style="19" customWidth="1"/>
    <col min="521" max="770" width="8.7109375" style="19" hidden="1"/>
    <col min="771" max="771" width="11" style="19" customWidth="1"/>
    <col min="772" max="772" width="13.42578125" style="19" bestFit="1" customWidth="1"/>
    <col min="773" max="773" width="15.7109375" style="19" customWidth="1"/>
    <col min="774" max="774" width="16" style="19" customWidth="1"/>
    <col min="775" max="776" width="8.7109375" style="19" customWidth="1"/>
    <col min="777" max="1026" width="8.7109375" style="19" hidden="1"/>
    <col min="1027" max="1027" width="11" style="19" customWidth="1"/>
    <col min="1028" max="1028" width="13.42578125" style="19" bestFit="1" customWidth="1"/>
    <col min="1029" max="1029" width="15.7109375" style="19" customWidth="1"/>
    <col min="1030" max="1030" width="16" style="19" customWidth="1"/>
    <col min="1031" max="1032" width="8.7109375" style="19" customWidth="1"/>
    <col min="1033" max="1282" width="8.7109375" style="19" hidden="1"/>
    <col min="1283" max="1283" width="11" style="19" customWidth="1"/>
    <col min="1284" max="1284" width="13.42578125" style="19" bestFit="1" customWidth="1"/>
    <col min="1285" max="1285" width="15.7109375" style="19" customWidth="1"/>
    <col min="1286" max="1286" width="16" style="19" customWidth="1"/>
    <col min="1287" max="1288" width="8.7109375" style="19" customWidth="1"/>
    <col min="1289" max="1538" width="8.7109375" style="19" hidden="1"/>
    <col min="1539" max="1539" width="11" style="19" customWidth="1"/>
    <col min="1540" max="1540" width="13.42578125" style="19" bestFit="1" customWidth="1"/>
    <col min="1541" max="1541" width="15.7109375" style="19" customWidth="1"/>
    <col min="1542" max="1542" width="16" style="19" customWidth="1"/>
    <col min="1543" max="1544" width="8.7109375" style="19" customWidth="1"/>
    <col min="1545" max="1794" width="8.7109375" style="19" hidden="1"/>
    <col min="1795" max="1795" width="11" style="19" customWidth="1"/>
    <col min="1796" max="1796" width="13.42578125" style="19" bestFit="1" customWidth="1"/>
    <col min="1797" max="1797" width="15.7109375" style="19" customWidth="1"/>
    <col min="1798" max="1798" width="16" style="19" customWidth="1"/>
    <col min="1799" max="1800" width="8.7109375" style="19" customWidth="1"/>
    <col min="1801" max="2050" width="8.7109375" style="19" hidden="1"/>
    <col min="2051" max="2051" width="11" style="19" customWidth="1"/>
    <col min="2052" max="2052" width="13.42578125" style="19" bestFit="1" customWidth="1"/>
    <col min="2053" max="2053" width="15.7109375" style="19" customWidth="1"/>
    <col min="2054" max="2054" width="16" style="19" customWidth="1"/>
    <col min="2055" max="2056" width="8.7109375" style="19" customWidth="1"/>
    <col min="2057" max="2306" width="8.7109375" style="19" hidden="1"/>
    <col min="2307" max="2307" width="11" style="19" customWidth="1"/>
    <col min="2308" max="2308" width="13.42578125" style="19" bestFit="1" customWidth="1"/>
    <col min="2309" max="2309" width="15.7109375" style="19" customWidth="1"/>
    <col min="2310" max="2310" width="16" style="19" customWidth="1"/>
    <col min="2311" max="2312" width="8.7109375" style="19" customWidth="1"/>
    <col min="2313" max="2562" width="8.7109375" style="19" hidden="1"/>
    <col min="2563" max="2563" width="11" style="19" customWidth="1"/>
    <col min="2564" max="2564" width="13.42578125" style="19" bestFit="1" customWidth="1"/>
    <col min="2565" max="2565" width="15.7109375" style="19" customWidth="1"/>
    <col min="2566" max="2566" width="16" style="19" customWidth="1"/>
    <col min="2567" max="2568" width="8.7109375" style="19" customWidth="1"/>
    <col min="2569" max="2818" width="8.7109375" style="19" hidden="1"/>
    <col min="2819" max="2819" width="11" style="19" customWidth="1"/>
    <col min="2820" max="2820" width="13.42578125" style="19" bestFit="1" customWidth="1"/>
    <col min="2821" max="2821" width="15.7109375" style="19" customWidth="1"/>
    <col min="2822" max="2822" width="16" style="19" customWidth="1"/>
    <col min="2823" max="2824" width="8.7109375" style="19" customWidth="1"/>
    <col min="2825" max="3074" width="8.7109375" style="19" hidden="1"/>
    <col min="3075" max="3075" width="11" style="19" customWidth="1"/>
    <col min="3076" max="3076" width="13.42578125" style="19" bestFit="1" customWidth="1"/>
    <col min="3077" max="3077" width="15.7109375" style="19" customWidth="1"/>
    <col min="3078" max="3078" width="16" style="19" customWidth="1"/>
    <col min="3079" max="3080" width="8.7109375" style="19" customWidth="1"/>
    <col min="3081" max="3330" width="8.7109375" style="19" hidden="1"/>
    <col min="3331" max="3331" width="11" style="19" customWidth="1"/>
    <col min="3332" max="3332" width="13.42578125" style="19" bestFit="1" customWidth="1"/>
    <col min="3333" max="3333" width="15.7109375" style="19" customWidth="1"/>
    <col min="3334" max="3334" width="16" style="19" customWidth="1"/>
    <col min="3335" max="3336" width="8.7109375" style="19" customWidth="1"/>
    <col min="3337" max="3586" width="8.7109375" style="19" hidden="1"/>
    <col min="3587" max="3587" width="11" style="19" customWidth="1"/>
    <col min="3588" max="3588" width="13.42578125" style="19" bestFit="1" customWidth="1"/>
    <col min="3589" max="3589" width="15.7109375" style="19" customWidth="1"/>
    <col min="3590" max="3590" width="16" style="19" customWidth="1"/>
    <col min="3591" max="3592" width="8.7109375" style="19" customWidth="1"/>
    <col min="3593" max="3842" width="8.7109375" style="19" hidden="1"/>
    <col min="3843" max="3843" width="11" style="19" customWidth="1"/>
    <col min="3844" max="3844" width="13.42578125" style="19" bestFit="1" customWidth="1"/>
    <col min="3845" max="3845" width="15.7109375" style="19" customWidth="1"/>
    <col min="3846" max="3846" width="16" style="19" customWidth="1"/>
    <col min="3847" max="3848" width="8.7109375" style="19" customWidth="1"/>
    <col min="3849" max="4098" width="8.7109375" style="19" hidden="1"/>
    <col min="4099" max="4099" width="11" style="19" customWidth="1"/>
    <col min="4100" max="4100" width="13.42578125" style="19" bestFit="1" customWidth="1"/>
    <col min="4101" max="4101" width="15.7109375" style="19" customWidth="1"/>
    <col min="4102" max="4102" width="16" style="19" customWidth="1"/>
    <col min="4103" max="4104" width="8.7109375" style="19" customWidth="1"/>
    <col min="4105" max="4354" width="8.7109375" style="19" hidden="1"/>
    <col min="4355" max="4355" width="11" style="19" customWidth="1"/>
    <col min="4356" max="4356" width="13.42578125" style="19" bestFit="1" customWidth="1"/>
    <col min="4357" max="4357" width="15.7109375" style="19" customWidth="1"/>
    <col min="4358" max="4358" width="16" style="19" customWidth="1"/>
    <col min="4359" max="4360" width="8.7109375" style="19" customWidth="1"/>
    <col min="4361" max="4610" width="8.7109375" style="19" hidden="1"/>
    <col min="4611" max="4611" width="11" style="19" customWidth="1"/>
    <col min="4612" max="4612" width="13.42578125" style="19" bestFit="1" customWidth="1"/>
    <col min="4613" max="4613" width="15.7109375" style="19" customWidth="1"/>
    <col min="4614" max="4614" width="16" style="19" customWidth="1"/>
    <col min="4615" max="4616" width="8.7109375" style="19" customWidth="1"/>
    <col min="4617" max="4866" width="8.7109375" style="19" hidden="1"/>
    <col min="4867" max="4867" width="11" style="19" customWidth="1"/>
    <col min="4868" max="4868" width="13.42578125" style="19" bestFit="1" customWidth="1"/>
    <col min="4869" max="4869" width="15.7109375" style="19" customWidth="1"/>
    <col min="4870" max="4870" width="16" style="19" customWidth="1"/>
    <col min="4871" max="4872" width="8.7109375" style="19" customWidth="1"/>
    <col min="4873" max="5122" width="8.7109375" style="19" hidden="1"/>
    <col min="5123" max="5123" width="11" style="19" customWidth="1"/>
    <col min="5124" max="5124" width="13.42578125" style="19" bestFit="1" customWidth="1"/>
    <col min="5125" max="5125" width="15.7109375" style="19" customWidth="1"/>
    <col min="5126" max="5126" width="16" style="19" customWidth="1"/>
    <col min="5127" max="5128" width="8.7109375" style="19" customWidth="1"/>
    <col min="5129" max="5378" width="8.7109375" style="19" hidden="1"/>
    <col min="5379" max="5379" width="11" style="19" customWidth="1"/>
    <col min="5380" max="5380" width="13.42578125" style="19" bestFit="1" customWidth="1"/>
    <col min="5381" max="5381" width="15.7109375" style="19" customWidth="1"/>
    <col min="5382" max="5382" width="16" style="19" customWidth="1"/>
    <col min="5383" max="5384" width="8.7109375" style="19" customWidth="1"/>
    <col min="5385" max="5634" width="8.7109375" style="19" hidden="1"/>
    <col min="5635" max="5635" width="11" style="19" customWidth="1"/>
    <col min="5636" max="5636" width="13.42578125" style="19" bestFit="1" customWidth="1"/>
    <col min="5637" max="5637" width="15.7109375" style="19" customWidth="1"/>
    <col min="5638" max="5638" width="16" style="19" customWidth="1"/>
    <col min="5639" max="5640" width="8.7109375" style="19" customWidth="1"/>
    <col min="5641" max="5890" width="8.7109375" style="19" hidden="1"/>
    <col min="5891" max="5891" width="11" style="19" customWidth="1"/>
    <col min="5892" max="5892" width="13.42578125" style="19" bestFit="1" customWidth="1"/>
    <col min="5893" max="5893" width="15.7109375" style="19" customWidth="1"/>
    <col min="5894" max="5894" width="16" style="19" customWidth="1"/>
    <col min="5895" max="5896" width="8.7109375" style="19" customWidth="1"/>
    <col min="5897" max="6146" width="8.7109375" style="19" hidden="1"/>
    <col min="6147" max="6147" width="11" style="19" customWidth="1"/>
    <col min="6148" max="6148" width="13.42578125" style="19" bestFit="1" customWidth="1"/>
    <col min="6149" max="6149" width="15.7109375" style="19" customWidth="1"/>
    <col min="6150" max="6150" width="16" style="19" customWidth="1"/>
    <col min="6151" max="6152" width="8.7109375" style="19" customWidth="1"/>
    <col min="6153" max="6402" width="8.7109375" style="19" hidden="1"/>
    <col min="6403" max="6403" width="11" style="19" customWidth="1"/>
    <col min="6404" max="6404" width="13.42578125" style="19" bestFit="1" customWidth="1"/>
    <col min="6405" max="6405" width="15.7109375" style="19" customWidth="1"/>
    <col min="6406" max="6406" width="16" style="19" customWidth="1"/>
    <col min="6407" max="6408" width="8.7109375" style="19" customWidth="1"/>
    <col min="6409" max="6658" width="8.7109375" style="19" hidden="1"/>
    <col min="6659" max="6659" width="11" style="19" customWidth="1"/>
    <col min="6660" max="6660" width="13.42578125" style="19" bestFit="1" customWidth="1"/>
    <col min="6661" max="6661" width="15.7109375" style="19" customWidth="1"/>
    <col min="6662" max="6662" width="16" style="19" customWidth="1"/>
    <col min="6663" max="6664" width="8.7109375" style="19" customWidth="1"/>
    <col min="6665" max="6914" width="8.7109375" style="19" hidden="1"/>
    <col min="6915" max="6915" width="11" style="19" customWidth="1"/>
    <col min="6916" max="6916" width="13.42578125" style="19" bestFit="1" customWidth="1"/>
    <col min="6917" max="6917" width="15.7109375" style="19" customWidth="1"/>
    <col min="6918" max="6918" width="16" style="19" customWidth="1"/>
    <col min="6919" max="6920" width="8.7109375" style="19" customWidth="1"/>
    <col min="6921" max="7170" width="8.7109375" style="19" hidden="1"/>
    <col min="7171" max="7171" width="11" style="19" customWidth="1"/>
    <col min="7172" max="7172" width="13.42578125" style="19" bestFit="1" customWidth="1"/>
    <col min="7173" max="7173" width="15.7109375" style="19" customWidth="1"/>
    <col min="7174" max="7174" width="16" style="19" customWidth="1"/>
    <col min="7175" max="7176" width="8.7109375" style="19" customWidth="1"/>
    <col min="7177" max="7426" width="8.7109375" style="19" hidden="1"/>
    <col min="7427" max="7427" width="11" style="19" customWidth="1"/>
    <col min="7428" max="7428" width="13.42578125" style="19" bestFit="1" customWidth="1"/>
    <col min="7429" max="7429" width="15.7109375" style="19" customWidth="1"/>
    <col min="7430" max="7430" width="16" style="19" customWidth="1"/>
    <col min="7431" max="7432" width="8.7109375" style="19" customWidth="1"/>
    <col min="7433" max="7682" width="8.7109375" style="19" hidden="1"/>
    <col min="7683" max="7683" width="11" style="19" customWidth="1"/>
    <col min="7684" max="7684" width="13.42578125" style="19" bestFit="1" customWidth="1"/>
    <col min="7685" max="7685" width="15.7109375" style="19" customWidth="1"/>
    <col min="7686" max="7686" width="16" style="19" customWidth="1"/>
    <col min="7687" max="7688" width="8.7109375" style="19" customWidth="1"/>
    <col min="7689" max="7938" width="8.7109375" style="19" hidden="1"/>
    <col min="7939" max="7939" width="11" style="19" customWidth="1"/>
    <col min="7940" max="7940" width="13.42578125" style="19" bestFit="1" customWidth="1"/>
    <col min="7941" max="7941" width="15.7109375" style="19" customWidth="1"/>
    <col min="7942" max="7942" width="16" style="19" customWidth="1"/>
    <col min="7943" max="7944" width="8.7109375" style="19" customWidth="1"/>
    <col min="7945" max="8194" width="8.7109375" style="19" hidden="1"/>
    <col min="8195" max="8195" width="11" style="19" customWidth="1"/>
    <col min="8196" max="8196" width="13.42578125" style="19" bestFit="1" customWidth="1"/>
    <col min="8197" max="8197" width="15.7109375" style="19" customWidth="1"/>
    <col min="8198" max="8198" width="16" style="19" customWidth="1"/>
    <col min="8199" max="8200" width="8.7109375" style="19" customWidth="1"/>
    <col min="8201" max="8450" width="8.7109375" style="19" hidden="1"/>
    <col min="8451" max="8451" width="11" style="19" customWidth="1"/>
    <col min="8452" max="8452" width="13.42578125" style="19" bestFit="1" customWidth="1"/>
    <col min="8453" max="8453" width="15.7109375" style="19" customWidth="1"/>
    <col min="8454" max="8454" width="16" style="19" customWidth="1"/>
    <col min="8455" max="8456" width="8.7109375" style="19" customWidth="1"/>
    <col min="8457" max="8706" width="8.7109375" style="19" hidden="1"/>
    <col min="8707" max="8707" width="11" style="19" customWidth="1"/>
    <col min="8708" max="8708" width="13.42578125" style="19" bestFit="1" customWidth="1"/>
    <col min="8709" max="8709" width="15.7109375" style="19" customWidth="1"/>
    <col min="8710" max="8710" width="16" style="19" customWidth="1"/>
    <col min="8711" max="8712" width="8.7109375" style="19" customWidth="1"/>
    <col min="8713" max="8962" width="8.7109375" style="19" hidden="1"/>
    <col min="8963" max="8963" width="11" style="19" customWidth="1"/>
    <col min="8964" max="8964" width="13.42578125" style="19" bestFit="1" customWidth="1"/>
    <col min="8965" max="8965" width="15.7109375" style="19" customWidth="1"/>
    <col min="8966" max="8966" width="16" style="19" customWidth="1"/>
    <col min="8967" max="8968" width="8.7109375" style="19" customWidth="1"/>
    <col min="8969" max="9218" width="8.7109375" style="19" hidden="1"/>
    <col min="9219" max="9219" width="11" style="19" customWidth="1"/>
    <col min="9220" max="9220" width="13.42578125" style="19" bestFit="1" customWidth="1"/>
    <col min="9221" max="9221" width="15.7109375" style="19" customWidth="1"/>
    <col min="9222" max="9222" width="16" style="19" customWidth="1"/>
    <col min="9223" max="9224" width="8.7109375" style="19" customWidth="1"/>
    <col min="9225" max="9474" width="8.7109375" style="19" hidden="1"/>
    <col min="9475" max="9475" width="11" style="19" customWidth="1"/>
    <col min="9476" max="9476" width="13.42578125" style="19" bestFit="1" customWidth="1"/>
    <col min="9477" max="9477" width="15.7109375" style="19" customWidth="1"/>
    <col min="9478" max="9478" width="16" style="19" customWidth="1"/>
    <col min="9479" max="9480" width="8.7109375" style="19" customWidth="1"/>
    <col min="9481" max="9730" width="8.7109375" style="19" hidden="1"/>
    <col min="9731" max="9731" width="11" style="19" customWidth="1"/>
    <col min="9732" max="9732" width="13.42578125" style="19" bestFit="1" customWidth="1"/>
    <col min="9733" max="9733" width="15.7109375" style="19" customWidth="1"/>
    <col min="9734" max="9734" width="16" style="19" customWidth="1"/>
    <col min="9735" max="9736" width="8.7109375" style="19" customWidth="1"/>
    <col min="9737" max="9986" width="8.7109375" style="19" hidden="1"/>
    <col min="9987" max="9987" width="11" style="19" customWidth="1"/>
    <col min="9988" max="9988" width="13.42578125" style="19" bestFit="1" customWidth="1"/>
    <col min="9989" max="9989" width="15.7109375" style="19" customWidth="1"/>
    <col min="9990" max="9990" width="16" style="19" customWidth="1"/>
    <col min="9991" max="9992" width="8.7109375" style="19" customWidth="1"/>
    <col min="9993" max="10242" width="8.7109375" style="19" hidden="1"/>
    <col min="10243" max="10243" width="11" style="19" customWidth="1"/>
    <col min="10244" max="10244" width="13.42578125" style="19" bestFit="1" customWidth="1"/>
    <col min="10245" max="10245" width="15.7109375" style="19" customWidth="1"/>
    <col min="10246" max="10246" width="16" style="19" customWidth="1"/>
    <col min="10247" max="10248" width="8.7109375" style="19" customWidth="1"/>
    <col min="10249" max="10498" width="8.7109375" style="19" hidden="1"/>
    <col min="10499" max="10499" width="11" style="19" customWidth="1"/>
    <col min="10500" max="10500" width="13.42578125" style="19" bestFit="1" customWidth="1"/>
    <col min="10501" max="10501" width="15.7109375" style="19" customWidth="1"/>
    <col min="10502" max="10502" width="16" style="19" customWidth="1"/>
    <col min="10503" max="10504" width="8.7109375" style="19" customWidth="1"/>
    <col min="10505" max="10754" width="8.7109375" style="19" hidden="1"/>
    <col min="10755" max="10755" width="11" style="19" customWidth="1"/>
    <col min="10756" max="10756" width="13.42578125" style="19" bestFit="1" customWidth="1"/>
    <col min="10757" max="10757" width="15.7109375" style="19" customWidth="1"/>
    <col min="10758" max="10758" width="16" style="19" customWidth="1"/>
    <col min="10759" max="10760" width="8.7109375" style="19" customWidth="1"/>
    <col min="10761" max="11010" width="8.7109375" style="19" hidden="1"/>
    <col min="11011" max="11011" width="11" style="19" customWidth="1"/>
    <col min="11012" max="11012" width="13.42578125" style="19" bestFit="1" customWidth="1"/>
    <col min="11013" max="11013" width="15.7109375" style="19" customWidth="1"/>
    <col min="11014" max="11014" width="16" style="19" customWidth="1"/>
    <col min="11015" max="11016" width="8.7109375" style="19" customWidth="1"/>
    <col min="11017" max="11266" width="8.7109375" style="19" hidden="1"/>
    <col min="11267" max="11267" width="11" style="19" customWidth="1"/>
    <col min="11268" max="11268" width="13.42578125" style="19" bestFit="1" customWidth="1"/>
    <col min="11269" max="11269" width="15.7109375" style="19" customWidth="1"/>
    <col min="11270" max="11270" width="16" style="19" customWidth="1"/>
    <col min="11271" max="11272" width="8.7109375" style="19" customWidth="1"/>
    <col min="11273" max="11522" width="8.7109375" style="19" hidden="1"/>
    <col min="11523" max="11523" width="11" style="19" customWidth="1"/>
    <col min="11524" max="11524" width="13.42578125" style="19" bestFit="1" customWidth="1"/>
    <col min="11525" max="11525" width="15.7109375" style="19" customWidth="1"/>
    <col min="11526" max="11526" width="16" style="19" customWidth="1"/>
    <col min="11527" max="11528" width="8.7109375" style="19" customWidth="1"/>
    <col min="11529" max="11778" width="8.7109375" style="19" hidden="1"/>
    <col min="11779" max="11779" width="11" style="19" customWidth="1"/>
    <col min="11780" max="11780" width="13.42578125" style="19" bestFit="1" customWidth="1"/>
    <col min="11781" max="11781" width="15.7109375" style="19" customWidth="1"/>
    <col min="11782" max="11782" width="16" style="19" customWidth="1"/>
    <col min="11783" max="11784" width="8.7109375" style="19" customWidth="1"/>
    <col min="11785" max="12034" width="8.7109375" style="19" hidden="1"/>
    <col min="12035" max="12035" width="11" style="19" customWidth="1"/>
    <col min="12036" max="12036" width="13.42578125" style="19" bestFit="1" customWidth="1"/>
    <col min="12037" max="12037" width="15.7109375" style="19" customWidth="1"/>
    <col min="12038" max="12038" width="16" style="19" customWidth="1"/>
    <col min="12039" max="12040" width="8.7109375" style="19" customWidth="1"/>
    <col min="12041" max="12290" width="8.7109375" style="19" hidden="1"/>
    <col min="12291" max="12291" width="11" style="19" customWidth="1"/>
    <col min="12292" max="12292" width="13.42578125" style="19" bestFit="1" customWidth="1"/>
    <col min="12293" max="12293" width="15.7109375" style="19" customWidth="1"/>
    <col min="12294" max="12294" width="16" style="19" customWidth="1"/>
    <col min="12295" max="12296" width="8.7109375" style="19" customWidth="1"/>
    <col min="12297" max="12546" width="8.7109375" style="19" hidden="1"/>
    <col min="12547" max="12547" width="11" style="19" customWidth="1"/>
    <col min="12548" max="12548" width="13.42578125" style="19" bestFit="1" customWidth="1"/>
    <col min="12549" max="12549" width="15.7109375" style="19" customWidth="1"/>
    <col min="12550" max="12550" width="16" style="19" customWidth="1"/>
    <col min="12551" max="12552" width="8.7109375" style="19" customWidth="1"/>
    <col min="12553" max="12802" width="8.7109375" style="19" hidden="1"/>
    <col min="12803" max="12803" width="11" style="19" customWidth="1"/>
    <col min="12804" max="12804" width="13.42578125" style="19" bestFit="1" customWidth="1"/>
    <col min="12805" max="12805" width="15.7109375" style="19" customWidth="1"/>
    <col min="12806" max="12806" width="16" style="19" customWidth="1"/>
    <col min="12807" max="12808" width="8.7109375" style="19" customWidth="1"/>
    <col min="12809" max="13058" width="8.7109375" style="19" hidden="1"/>
    <col min="13059" max="13059" width="11" style="19" customWidth="1"/>
    <col min="13060" max="13060" width="13.42578125" style="19" bestFit="1" customWidth="1"/>
    <col min="13061" max="13061" width="15.7109375" style="19" customWidth="1"/>
    <col min="13062" max="13062" width="16" style="19" customWidth="1"/>
    <col min="13063" max="13064" width="8.7109375" style="19" customWidth="1"/>
    <col min="13065" max="13314" width="8.7109375" style="19" hidden="1"/>
    <col min="13315" max="13315" width="11" style="19" customWidth="1"/>
    <col min="13316" max="13316" width="13.42578125" style="19" bestFit="1" customWidth="1"/>
    <col min="13317" max="13317" width="15.7109375" style="19" customWidth="1"/>
    <col min="13318" max="13318" width="16" style="19" customWidth="1"/>
    <col min="13319" max="13320" width="8.7109375" style="19" customWidth="1"/>
    <col min="13321" max="13570" width="8.7109375" style="19" hidden="1"/>
    <col min="13571" max="13571" width="11" style="19" customWidth="1"/>
    <col min="13572" max="13572" width="13.42578125" style="19" bestFit="1" customWidth="1"/>
    <col min="13573" max="13573" width="15.7109375" style="19" customWidth="1"/>
    <col min="13574" max="13574" width="16" style="19" customWidth="1"/>
    <col min="13575" max="13576" width="8.7109375" style="19" customWidth="1"/>
    <col min="13577" max="13826" width="8.7109375" style="19" hidden="1"/>
    <col min="13827" max="13827" width="11" style="19" customWidth="1"/>
    <col min="13828" max="13828" width="13.42578125" style="19" bestFit="1" customWidth="1"/>
    <col min="13829" max="13829" width="15.7109375" style="19" customWidth="1"/>
    <col min="13830" max="13830" width="16" style="19" customWidth="1"/>
    <col min="13831" max="13832" width="8.7109375" style="19" customWidth="1"/>
    <col min="13833" max="14082" width="8.7109375" style="19" hidden="1"/>
    <col min="14083" max="14083" width="11" style="19" customWidth="1"/>
    <col min="14084" max="14084" width="13.42578125" style="19" bestFit="1" customWidth="1"/>
    <col min="14085" max="14085" width="15.7109375" style="19" customWidth="1"/>
    <col min="14086" max="14086" width="16" style="19" customWidth="1"/>
    <col min="14087" max="14088" width="8.7109375" style="19" customWidth="1"/>
    <col min="14089" max="14338" width="8.7109375" style="19" hidden="1"/>
    <col min="14339" max="14339" width="11" style="19" customWidth="1"/>
    <col min="14340" max="14340" width="13.42578125" style="19" bestFit="1" customWidth="1"/>
    <col min="14341" max="14341" width="15.7109375" style="19" customWidth="1"/>
    <col min="14342" max="14342" width="16" style="19" customWidth="1"/>
    <col min="14343" max="14344" width="8.7109375" style="19" customWidth="1"/>
    <col min="14345" max="14594" width="8.7109375" style="19" hidden="1"/>
    <col min="14595" max="14595" width="11" style="19" customWidth="1"/>
    <col min="14596" max="14596" width="13.42578125" style="19" bestFit="1" customWidth="1"/>
    <col min="14597" max="14597" width="15.7109375" style="19" customWidth="1"/>
    <col min="14598" max="14598" width="16" style="19" customWidth="1"/>
    <col min="14599" max="14600" width="8.7109375" style="19" customWidth="1"/>
    <col min="14601" max="14850" width="8.7109375" style="19" hidden="1"/>
    <col min="14851" max="14851" width="11" style="19" customWidth="1"/>
    <col min="14852" max="14852" width="13.42578125" style="19" bestFit="1" customWidth="1"/>
    <col min="14853" max="14853" width="15.7109375" style="19" customWidth="1"/>
    <col min="14854" max="14854" width="16" style="19" customWidth="1"/>
    <col min="14855" max="14856" width="8.7109375" style="19" customWidth="1"/>
    <col min="14857" max="15106" width="8.7109375" style="19" hidden="1"/>
    <col min="15107" max="15107" width="11" style="19" customWidth="1"/>
    <col min="15108" max="15108" width="13.42578125" style="19" bestFit="1" customWidth="1"/>
    <col min="15109" max="15109" width="15.7109375" style="19" customWidth="1"/>
    <col min="15110" max="15110" width="16" style="19" customWidth="1"/>
    <col min="15111" max="15112" width="8.7109375" style="19" customWidth="1"/>
    <col min="15113" max="15362" width="8.7109375" style="19" hidden="1"/>
    <col min="15363" max="15363" width="11" style="19" customWidth="1"/>
    <col min="15364" max="15364" width="13.42578125" style="19" bestFit="1" customWidth="1"/>
    <col min="15365" max="15365" width="15.7109375" style="19" customWidth="1"/>
    <col min="15366" max="15366" width="16" style="19" customWidth="1"/>
    <col min="15367" max="15368" width="8.7109375" style="19" customWidth="1"/>
    <col min="15369" max="15618" width="8.7109375" style="19" hidden="1"/>
    <col min="15619" max="15619" width="11" style="19" customWidth="1"/>
    <col min="15620" max="15620" width="13.42578125" style="19" bestFit="1" customWidth="1"/>
    <col min="15621" max="15621" width="15.7109375" style="19" customWidth="1"/>
    <col min="15622" max="15622" width="16" style="19" customWidth="1"/>
    <col min="15623" max="15624" width="8.7109375" style="19" customWidth="1"/>
    <col min="15625" max="15874" width="8.7109375" style="19" hidden="1"/>
    <col min="15875" max="15875" width="11" style="19" customWidth="1"/>
    <col min="15876" max="15876" width="13.42578125" style="19" bestFit="1" customWidth="1"/>
    <col min="15877" max="15877" width="15.7109375" style="19" customWidth="1"/>
    <col min="15878" max="15878" width="16" style="19" customWidth="1"/>
    <col min="15879" max="15880" width="8.7109375" style="19" customWidth="1"/>
    <col min="15881" max="16130" width="8.7109375" style="19" hidden="1"/>
    <col min="16131" max="16131" width="11" style="19" customWidth="1"/>
    <col min="16132" max="16132" width="13.42578125" style="19" bestFit="1" customWidth="1"/>
    <col min="16133" max="16133" width="15.7109375" style="19" customWidth="1"/>
    <col min="16134" max="16134" width="16" style="19" customWidth="1"/>
    <col min="16135" max="16136" width="8.7109375" style="19" customWidth="1"/>
    <col min="16137" max="16384" width="8.7109375" style="19" hidden="1"/>
  </cols>
  <sheetData>
    <row r="1" spans="1:12" ht="12" x14ac:dyDescent="0.2">
      <c r="A1" s="17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24" customFormat="1" ht="12" x14ac:dyDescent="0.2">
      <c r="A2" s="23" t="s">
        <v>70</v>
      </c>
      <c r="B2" s="23" t="s">
        <v>71</v>
      </c>
      <c r="C2" s="23" t="s">
        <v>72</v>
      </c>
      <c r="D2" s="23" t="s">
        <v>73</v>
      </c>
      <c r="E2" s="23" t="s">
        <v>74</v>
      </c>
      <c r="F2" s="23" t="s">
        <v>75</v>
      </c>
      <c r="G2" s="23" t="s">
        <v>76</v>
      </c>
      <c r="H2" s="23" t="s">
        <v>77</v>
      </c>
      <c r="I2" s="23" t="s">
        <v>78</v>
      </c>
      <c r="J2" s="23" t="s">
        <v>79</v>
      </c>
      <c r="K2" s="23" t="s">
        <v>80</v>
      </c>
      <c r="L2" s="23" t="s">
        <v>81</v>
      </c>
    </row>
    <row r="3" spans="1:12" s="24" customFormat="1" ht="12" x14ac:dyDescent="0.2">
      <c r="A3" s="24">
        <f>'AUC calculator'!B8</f>
        <v>0</v>
      </c>
      <c r="B3" s="24">
        <f>'AUC calculator'!B7</f>
        <v>0</v>
      </c>
      <c r="C3" s="45">
        <f>'AUC calculator'!B11</f>
        <v>0</v>
      </c>
      <c r="D3" s="24">
        <f>'AUC calculator'!B12</f>
        <v>0</v>
      </c>
      <c r="E3" s="45">
        <f>'AUC calculator'!B13</f>
        <v>0</v>
      </c>
      <c r="F3" s="46">
        <f>(E3-C3)*24</f>
        <v>0</v>
      </c>
      <c r="G3" s="31">
        <f>(H3-E3)*24</f>
        <v>0</v>
      </c>
      <c r="H3" s="45">
        <f>'AUC calculator'!B15</f>
        <v>0</v>
      </c>
      <c r="I3" s="24">
        <f>'AUC calculator'!B14</f>
        <v>0</v>
      </c>
      <c r="J3" s="46">
        <f>(H3-C3)*24</f>
        <v>0</v>
      </c>
      <c r="K3" s="30" t="e">
        <f>(D3)/(EXP((A6)*-(F3-A3)))</f>
        <v>#DIV/0!</v>
      </c>
      <c r="L3" s="30" t="e">
        <f>K3*(EXP((-A6)*(B3-A3)))</f>
        <v>#DIV/0!</v>
      </c>
    </row>
    <row r="4" spans="1:12" ht="12" x14ac:dyDescent="0.2"/>
    <row r="5" spans="1:12" ht="12" x14ac:dyDescent="0.2">
      <c r="A5" s="20" t="s">
        <v>82</v>
      </c>
      <c r="B5" s="20" t="s">
        <v>83</v>
      </c>
      <c r="C5" s="20" t="s">
        <v>84</v>
      </c>
      <c r="D5" s="20" t="s">
        <v>85</v>
      </c>
      <c r="E5" s="20" t="s">
        <v>86</v>
      </c>
      <c r="F5" s="20"/>
    </row>
    <row r="6" spans="1:12" ht="12" x14ac:dyDescent="0.2">
      <c r="A6" s="26" t="e">
        <f>(LN(D3/I3))/G3</f>
        <v>#DIV/0!</v>
      </c>
      <c r="B6" s="25" t="e">
        <f>0.693/A6</f>
        <v>#DIV/0!</v>
      </c>
      <c r="C6" s="25" t="e">
        <f>E6*A6</f>
        <v>#DIV/0!</v>
      </c>
      <c r="D6" s="25" t="e">
        <f>C6*1000/60</f>
        <v>#DIV/0!</v>
      </c>
      <c r="E6" s="25" t="e">
        <f>((A9/A3)*(1-(EXP(A6*-A3)))/(A6*(K3-(L3*(EXP(A6*-A3))))))</f>
        <v>#DIV/0!</v>
      </c>
      <c r="F6" s="25"/>
    </row>
    <row r="7" spans="1:12" ht="12" x14ac:dyDescent="0.2"/>
    <row r="8" spans="1:12" ht="12" x14ac:dyDescent="0.2">
      <c r="A8" s="20" t="s">
        <v>87</v>
      </c>
      <c r="B8" s="20" t="s">
        <v>88</v>
      </c>
      <c r="D8" s="27" t="s">
        <v>89</v>
      </c>
      <c r="E8" s="27" t="s">
        <v>90</v>
      </c>
      <c r="F8" s="27"/>
      <c r="G8" s="20" t="s">
        <v>91</v>
      </c>
      <c r="I8" s="19" t="s">
        <v>92</v>
      </c>
    </row>
    <row r="9" spans="1:12" ht="12" x14ac:dyDescent="0.2">
      <c r="A9" s="21">
        <f>'AUC calculator'!B6</f>
        <v>0</v>
      </c>
      <c r="B9" s="21" t="e">
        <f>A9*24/B3</f>
        <v>#DIV/0!</v>
      </c>
      <c r="D9" s="28" t="e">
        <f>(K3+L3)/2*A3</f>
        <v>#DIV/0!</v>
      </c>
      <c r="E9" s="29" t="e">
        <f>(K3-L3)/A6</f>
        <v>#DIV/0!</v>
      </c>
      <c r="F9" s="29"/>
      <c r="G9" s="21" t="e">
        <f>SUM(D9:E9)*24/B3</f>
        <v>#DIV/0!</v>
      </c>
      <c r="I9" s="19" t="e">
        <f>C6*A12</f>
        <v>#DIV/0!</v>
      </c>
    </row>
    <row r="10" spans="1:12" ht="12" x14ac:dyDescent="0.2"/>
    <row r="11" spans="1:12" ht="12" x14ac:dyDescent="0.2">
      <c r="A11" s="20" t="s">
        <v>93</v>
      </c>
      <c r="B11" s="20" t="s">
        <v>94</v>
      </c>
      <c r="C11" s="20" t="s">
        <v>95</v>
      </c>
      <c r="D11" s="20" t="s">
        <v>96</v>
      </c>
      <c r="E11" s="20"/>
      <c r="F11" s="20"/>
      <c r="G11" s="20"/>
      <c r="H11" s="20"/>
    </row>
    <row r="12" spans="1:12" ht="12" x14ac:dyDescent="0.2">
      <c r="A12" s="19">
        <f>'AUC calculator'!B21</f>
        <v>500</v>
      </c>
      <c r="B12" s="25" t="e">
        <f>A12/G9*B9</f>
        <v>#DIV/0!</v>
      </c>
      <c r="C12" s="25" t="e">
        <f>B12*D12/24</f>
        <v>#DIV/0!</v>
      </c>
      <c r="D12" s="19" t="e">
        <f>IF(B6&lt;4,6,IF(AND(B6&gt;4,B6&lt;=5.5),8,IF(AND(B6&gt;5.5,B6&lt;=11),12,IF(AND(B6&gt;11,B6&lt;=22),24,IF(B6&gt;22," use clinical judgement")))))</f>
        <v>#DIV/0!</v>
      </c>
      <c r="E12" s="22"/>
      <c r="F12" s="22"/>
      <c r="G12" s="22"/>
    </row>
    <row r="13" spans="1:12" ht="12" x14ac:dyDescent="0.2"/>
    <row r="14" spans="1:12" ht="12" x14ac:dyDescent="0.2">
      <c r="A14" s="20" t="s">
        <v>97</v>
      </c>
      <c r="B14" s="20" t="s">
        <v>98</v>
      </c>
      <c r="C14" s="20" t="s">
        <v>99</v>
      </c>
      <c r="D14" s="20" t="s">
        <v>100</v>
      </c>
      <c r="E14" s="20" t="s">
        <v>101</v>
      </c>
      <c r="F14" s="20"/>
      <c r="G14" s="20" t="s">
        <v>102</v>
      </c>
      <c r="H14" s="20" t="s">
        <v>103</v>
      </c>
      <c r="I14" s="20" t="s">
        <v>104</v>
      </c>
      <c r="J14" s="20"/>
      <c r="K14" s="20" t="s">
        <v>105</v>
      </c>
    </row>
    <row r="15" spans="1:12" ht="12" x14ac:dyDescent="0.2">
      <c r="A15" s="19">
        <f>'AUC calculator'!B25</f>
        <v>0</v>
      </c>
      <c r="B15" s="19">
        <f>'AUC calculator'!B26</f>
        <v>0</v>
      </c>
      <c r="C15" s="19" t="e">
        <f>(A15*(24/B15))</f>
        <v>#DIV/0!</v>
      </c>
      <c r="D15" s="19">
        <f>'AUC calculator'!B27</f>
        <v>0</v>
      </c>
      <c r="E15" s="31" t="e">
        <f>(((A15/(C6*D15))*(1-EXP(-A6*D15))/(1-EXP(-A6*B15))))</f>
        <v>#DIV/0!</v>
      </c>
      <c r="F15" s="31"/>
      <c r="G15" s="31" t="e">
        <f>E15*EXP(-A6*(B15-D15))</f>
        <v>#DIV/0!</v>
      </c>
      <c r="H15" s="21" t="e">
        <f>SUM(I15:K15)*24/B15</f>
        <v>#DIV/0!</v>
      </c>
      <c r="I15" s="28" t="e">
        <f>(E15+G15)/2*D15</f>
        <v>#DIV/0!</v>
      </c>
      <c r="J15" s="28"/>
      <c r="K15" s="29" t="e">
        <f>(E15-G15)/A6</f>
        <v>#DIV/0!</v>
      </c>
    </row>
    <row r="16" spans="1:12" ht="12" x14ac:dyDescent="0.2">
      <c r="E16" s="31"/>
      <c r="F16" s="31"/>
      <c r="G16" s="31"/>
      <c r="H16" s="21"/>
      <c r="I16" s="28"/>
      <c r="J16" s="28"/>
      <c r="K16" s="29"/>
    </row>
    <row r="17" ht="12" x14ac:dyDescent="0.2"/>
  </sheetData>
  <sheetProtection algorithmName="SHA-512" hashValue="8wMbHIJaPyKG65MUjV4ACV6/j30yJn8kh4jT5LyjkUeaNYf/4xeIHU+fP8o65E2ubGQKphGaxX/BiEr7Fy+6EA==" saltValue="ECKCH7rdyirggGcD2AGHyA==" spinCount="100000" sheet="1" objects="1" scenarios="1" selectLockedCells="1" selectUnlockedCells="1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A014C4D478A5479375BF65F3FE14A9" ma:contentTypeVersion="1" ma:contentTypeDescription="Create a new document." ma:contentTypeScope="" ma:versionID="383b2b17c4aba558fc742f63a3d48bbe">
  <xsd:schema xmlns:xsd="http://www.w3.org/2001/XMLSchema" xmlns:xs="http://www.w3.org/2001/XMLSchema" xmlns:p="http://schemas.microsoft.com/office/2006/metadata/properties" xmlns:ns2="7e0d08b6-9c4b-4866-a50c-ec37f3b8adc5" targetNamespace="http://schemas.microsoft.com/office/2006/metadata/properties" ma:root="true" ma:fieldsID="9988363a18260a6fcc3980445d97615c" ns2:_="">
    <xsd:import namespace="7e0d08b6-9c4b-4866-a50c-ec37f3b8adc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d08b6-9c4b-4866-a50c-ec37f3b8ad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B1116D-9189-49D3-96EB-785B61CB49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0FCF16-C8D3-4A09-92A6-E5F23DB1D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0d08b6-9c4b-4866-a50c-ec37f3b8ad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936840-17D3-4525-BEDD-A0AB2B4872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Initial Dose</vt:lpstr>
      <vt:lpstr>AUC calculator</vt:lpstr>
      <vt:lpstr>Revision hx</vt:lpstr>
      <vt:lpstr>Calculation_Details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Meng, Lina</dc:creator>
  <cp:keywords/>
  <dc:description/>
  <cp:lastModifiedBy>Meng, Lina</cp:lastModifiedBy>
  <cp:revision/>
  <dcterms:created xsi:type="dcterms:W3CDTF">2018-02-21T16:58:00Z</dcterms:created>
  <dcterms:modified xsi:type="dcterms:W3CDTF">2022-08-24T14:58:51Z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0x010100A0A014C4D478A5479375BF65F3FE14A9</vt:lpwstr>
  </property>
</Properties>
</file>